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faelcesar/Library/CloudStorage/GoogleDrive-rafael.tinelli@thinkviabilidade.com/.shortcut-targets-by-id/1twsU6uKcFtuKv5VyDAPOE3KUh7JuxMEM/0. Think/02 Projetos/36 - Proficenter/05. PMI Guará/"/>
    </mc:Choice>
  </mc:AlternateContent>
  <xr:revisionPtr revIDLastSave="0" documentId="13_ncr:1_{A417B8A5-1E6E-B64F-B7B8-71CECE1B5FCA}" xr6:coauthVersionLast="47" xr6:coauthVersionMax="47" xr10:uidLastSave="{00000000-0000-0000-0000-000000000000}"/>
  <bookViews>
    <workbookView xWindow="0" yWindow="0" windowWidth="28800" windowHeight="18000" xr2:uid="{54C85753-3E58-574C-9A76-FC254C6DB88B}"/>
  </bookViews>
  <sheets>
    <sheet name="Valuation (FCF) Guara" sheetId="7" r:id="rId1"/>
    <sheet name="SNIS" sheetId="2" r:id="rId2"/>
    <sheet name="Séries Econômicas" sheetId="5" r:id="rId3"/>
  </sheets>
  <externalReferences>
    <externalReference r:id="rId4"/>
    <externalReference r:id="rId5"/>
  </externalReferences>
  <definedNames>
    <definedName name="_xlnm.Print_Area" localSheetId="0">'Valuation (FCF) Guara'!$A$1:$BF$232</definedName>
    <definedName name="_xlnm.Print_Titles" localSheetId="0">'Valuation (FCF) Guara'!$A:$N,'Valuation (FCF) Guara'!$1:$5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256" i="7" l="1"/>
  <c r="BD256" i="7"/>
  <c r="BC256" i="7"/>
  <c r="BB256" i="7"/>
  <c r="BA256" i="7"/>
  <c r="AZ256" i="7"/>
  <c r="AY256" i="7"/>
  <c r="AX256" i="7"/>
  <c r="AW256" i="7"/>
  <c r="AV256" i="7"/>
  <c r="AU256" i="7"/>
  <c r="AT256" i="7"/>
  <c r="AS256" i="7"/>
  <c r="AR256" i="7"/>
  <c r="AQ256" i="7"/>
  <c r="AP256" i="7"/>
  <c r="AO256" i="7"/>
  <c r="AN256" i="7"/>
  <c r="AM256" i="7"/>
  <c r="AL256" i="7"/>
  <c r="AK256" i="7"/>
  <c r="AJ256" i="7"/>
  <c r="AI256" i="7"/>
  <c r="AH256" i="7"/>
  <c r="AG256" i="7"/>
  <c r="AF256" i="7"/>
  <c r="AE256" i="7"/>
  <c r="AD256" i="7"/>
  <c r="AC256" i="7"/>
  <c r="BE255" i="7"/>
  <c r="BD255" i="7"/>
  <c r="BC255" i="7"/>
  <c r="BB255" i="7"/>
  <c r="BA255" i="7"/>
  <c r="AZ255" i="7"/>
  <c r="AY255" i="7"/>
  <c r="AX255" i="7"/>
  <c r="AW255" i="7"/>
  <c r="AV255" i="7"/>
  <c r="AU255" i="7"/>
  <c r="AT255" i="7"/>
  <c r="AS255" i="7"/>
  <c r="AR255" i="7"/>
  <c r="AQ255" i="7"/>
  <c r="AP255" i="7"/>
  <c r="AO255" i="7"/>
  <c r="AN255" i="7"/>
  <c r="AM255" i="7"/>
  <c r="AL255" i="7"/>
  <c r="AK255" i="7"/>
  <c r="AJ255" i="7"/>
  <c r="AI255" i="7"/>
  <c r="AH255" i="7"/>
  <c r="AG255" i="7"/>
  <c r="AF255" i="7"/>
  <c r="AE255" i="7"/>
  <c r="AD255" i="7"/>
  <c r="AC255" i="7"/>
  <c r="AB256" i="7"/>
  <c r="AB255" i="7"/>
  <c r="L257" i="7"/>
  <c r="K257" i="7"/>
  <c r="L250" i="7"/>
  <c r="L251" i="7"/>
  <c r="K250" i="7"/>
  <c r="K251" i="7"/>
  <c r="AN252" i="7"/>
  <c r="AN82" i="7"/>
  <c r="AN169" i="7" s="1"/>
  <c r="BE252" i="7"/>
  <c r="BD252" i="7"/>
  <c r="BC252" i="7"/>
  <c r="BB252" i="7"/>
  <c r="BA252" i="7"/>
  <c r="AZ252" i="7"/>
  <c r="AY252" i="7"/>
  <c r="AX252" i="7"/>
  <c r="AW252" i="7"/>
  <c r="AV252" i="7"/>
  <c r="AU252" i="7"/>
  <c r="AT252" i="7"/>
  <c r="AS252" i="7"/>
  <c r="AR252" i="7"/>
  <c r="AQ252" i="7"/>
  <c r="AP252" i="7"/>
  <c r="AO252" i="7"/>
  <c r="AM252" i="7"/>
  <c r="AL252" i="7"/>
  <c r="AK252" i="7"/>
  <c r="AJ252" i="7"/>
  <c r="AI252" i="7"/>
  <c r="AH252" i="7"/>
  <c r="AG252" i="7"/>
  <c r="AF252" i="7"/>
  <c r="AE252" i="7"/>
  <c r="AD252" i="7"/>
  <c r="AC252" i="7"/>
  <c r="AB252" i="7"/>
  <c r="K252" i="7" s="1"/>
  <c r="L252" i="7" l="1"/>
  <c r="AA211" i="7" l="1"/>
  <c r="L215" i="7"/>
  <c r="AA213" i="7"/>
  <c r="AA214" i="7"/>
  <c r="AA215" i="7"/>
  <c r="L214" i="7"/>
  <c r="K213" i="7"/>
  <c r="K211" i="7" s="1"/>
  <c r="AA212" i="7"/>
  <c r="L212" i="7"/>
  <c r="L202" i="7"/>
  <c r="K202" i="7"/>
  <c r="L213" i="7"/>
  <c r="L211" i="7" s="1"/>
  <c r="AC10" i="7"/>
  <c r="AD10" i="7" s="1"/>
  <c r="AE10" i="7" s="1"/>
  <c r="AE9" i="7"/>
  <c r="AF9" i="7" s="1"/>
  <c r="AG9" i="7" s="1"/>
  <c r="AH9" i="7" s="1"/>
  <c r="AI9" i="7" s="1"/>
  <c r="AJ9" i="7" s="1"/>
  <c r="AK9" i="7" s="1"/>
  <c r="AL9" i="7" s="1"/>
  <c r="AM9" i="7" s="1"/>
  <c r="AA202" i="7"/>
  <c r="AN9" i="7" l="1"/>
  <c r="AO9" i="7" s="1"/>
  <c r="AP9" i="7" s="1"/>
  <c r="AQ9" i="7" s="1"/>
  <c r="AR9" i="7" s="1"/>
  <c r="AS9" i="7" s="1"/>
  <c r="AT9" i="7" s="1"/>
  <c r="AU9" i="7" s="1"/>
  <c r="AV9" i="7" s="1"/>
  <c r="AW9" i="7" s="1"/>
  <c r="AX9" i="7" s="1"/>
  <c r="AY9" i="7" s="1"/>
  <c r="AZ9" i="7" s="1"/>
  <c r="BA9" i="7" s="1"/>
  <c r="BB9" i="7" s="1"/>
  <c r="BC9" i="7" s="1"/>
  <c r="BD9" i="7" s="1"/>
  <c r="BE9" i="7" s="1"/>
  <c r="AF10" i="7"/>
  <c r="AG10" i="7" s="1"/>
  <c r="AH10" i="7" s="1"/>
  <c r="AI10" i="7" s="1"/>
  <c r="AJ10" i="7" s="1"/>
  <c r="AK10" i="7" s="1"/>
  <c r="AL10" i="7" s="1"/>
  <c r="AM10" i="7" s="1"/>
  <c r="AN10" i="7" l="1"/>
  <c r="AO10" i="7" s="1"/>
  <c r="AP10" i="7" s="1"/>
  <c r="AQ10" i="7" s="1"/>
  <c r="AR10" i="7" s="1"/>
  <c r="AS10" i="7" s="1"/>
  <c r="AT10" i="7" s="1"/>
  <c r="AU10" i="7" s="1"/>
  <c r="AV10" i="7" s="1"/>
  <c r="AW10" i="7" s="1"/>
  <c r="AX10" i="7" s="1"/>
  <c r="AY10" i="7" s="1"/>
  <c r="AZ10" i="7" s="1"/>
  <c r="BA10" i="7" s="1"/>
  <c r="BB10" i="7" s="1"/>
  <c r="BC10" i="7" s="1"/>
  <c r="BD10" i="7" s="1"/>
  <c r="BE10" i="7" s="1"/>
  <c r="AA204" i="7"/>
  <c r="AA203" i="7"/>
  <c r="AA200" i="7"/>
  <c r="AA199" i="7"/>
  <c r="AA198" i="7"/>
  <c r="AA192" i="7" l="1"/>
  <c r="AA191" i="7"/>
  <c r="AA193" i="7"/>
  <c r="AA201" i="7"/>
  <c r="P8" i="7" l="1"/>
  <c r="Q8" i="7" s="1"/>
  <c r="R8" i="7" s="1"/>
  <c r="S8" i="7" s="1"/>
  <c r="T8" i="7" s="1"/>
  <c r="U8" i="7" s="1"/>
  <c r="V8" i="7" s="1"/>
  <c r="W8" i="7" s="1"/>
  <c r="X8" i="7" s="1"/>
  <c r="Y8" i="7" s="1"/>
  <c r="Z8" i="7" s="1"/>
  <c r="AA197" i="7"/>
  <c r="N78" i="7"/>
  <c r="N80" i="7"/>
  <c r="N81" i="7"/>
  <c r="N82" i="7"/>
  <c r="N83" i="7"/>
  <c r="N84" i="7"/>
  <c r="N79" i="7"/>
  <c r="J240" i="7"/>
  <c r="J239" i="7"/>
  <c r="J238" i="7"/>
  <c r="J237" i="7"/>
  <c r="J236" i="7"/>
  <c r="AC231" i="7"/>
  <c r="AC230" i="7" s="1"/>
  <c r="AB230" i="7"/>
  <c r="AA217" i="7"/>
  <c r="AA216" i="7"/>
  <c r="AA178" i="7"/>
  <c r="AA177" i="7"/>
  <c r="AA154" i="7"/>
  <c r="O110" i="7"/>
  <c r="O109" i="7"/>
  <c r="O104" i="7"/>
  <c r="O103" i="7"/>
  <c r="O102" i="7"/>
  <c r="O101" i="7"/>
  <c r="O97" i="7"/>
  <c r="O96" i="7"/>
  <c r="O76" i="7"/>
  <c r="O75" i="7"/>
  <c r="O74" i="7"/>
  <c r="O73" i="7"/>
  <c r="O72" i="7"/>
  <c r="O71" i="7"/>
  <c r="O64" i="7"/>
  <c r="O63" i="7"/>
  <c r="O62" i="7"/>
  <c r="O60" i="7"/>
  <c r="O59" i="7"/>
  <c r="O58" i="7"/>
  <c r="O57" i="7"/>
  <c r="O50" i="7"/>
  <c r="O49" i="7"/>
  <c r="O46" i="7"/>
  <c r="O45" i="7"/>
  <c r="O38" i="7"/>
  <c r="O37" i="7"/>
  <c r="O34" i="7"/>
  <c r="O33" i="7"/>
  <c r="O28" i="7"/>
  <c r="O27" i="7"/>
  <c r="O20" i="7"/>
  <c r="O19" i="7"/>
  <c r="O17" i="7"/>
  <c r="O16" i="7"/>
  <c r="AB3" i="7"/>
  <c r="AB247" i="7" s="1"/>
  <c r="P2" i="7"/>
  <c r="P50" i="7" s="1"/>
  <c r="L425" i="5"/>
  <c r="L412" i="5"/>
  <c r="L399" i="5"/>
  <c r="L386" i="5"/>
  <c r="L373" i="5"/>
  <c r="L372" i="5"/>
  <c r="L371" i="5"/>
  <c r="L370" i="5"/>
  <c r="L369" i="5"/>
  <c r="L368" i="5"/>
  <c r="L367" i="5"/>
  <c r="L366" i="5"/>
  <c r="L365" i="5"/>
  <c r="L352" i="5"/>
  <c r="L339" i="5"/>
  <c r="L326" i="5"/>
  <c r="L313" i="5"/>
  <c r="L300" i="5"/>
  <c r="L299" i="5"/>
  <c r="L298" i="5"/>
  <c r="L297" i="5"/>
  <c r="L296" i="5"/>
  <c r="L295" i="5"/>
  <c r="L294" i="5"/>
  <c r="L293" i="5"/>
  <c r="L292" i="5"/>
  <c r="L279" i="5"/>
  <c r="L266" i="5"/>
  <c r="L253" i="5"/>
  <c r="L240" i="5"/>
  <c r="L227" i="5"/>
  <c r="L226" i="5"/>
  <c r="L225" i="5"/>
  <c r="L224" i="5"/>
  <c r="L223" i="5"/>
  <c r="L222" i="5"/>
  <c r="L221" i="5"/>
  <c r="L220" i="5"/>
  <c r="L219" i="5"/>
  <c r="L206" i="5"/>
  <c r="L193" i="5"/>
  <c r="L180" i="5"/>
  <c r="L167" i="5"/>
  <c r="L154" i="5"/>
  <c r="L153" i="5"/>
  <c r="L152" i="5"/>
  <c r="L151" i="5"/>
  <c r="L150" i="5"/>
  <c r="L149" i="5"/>
  <c r="L148" i="5"/>
  <c r="L147" i="5"/>
  <c r="L146" i="5"/>
  <c r="L133" i="5"/>
  <c r="L120" i="5"/>
  <c r="L107" i="5"/>
  <c r="L94" i="5"/>
  <c r="L81" i="5"/>
  <c r="L80" i="5"/>
  <c r="L79" i="5"/>
  <c r="L78" i="5"/>
  <c r="L77" i="5"/>
  <c r="L76" i="5"/>
  <c r="L75" i="5"/>
  <c r="L74" i="5"/>
  <c r="L73" i="5"/>
  <c r="L60" i="5"/>
  <c r="L47" i="5"/>
  <c r="L34" i="5"/>
  <c r="L21" i="5"/>
  <c r="J426" i="5"/>
  <c r="J427" i="5" s="1"/>
  <c r="J428" i="5" s="1"/>
  <c r="J429" i="5" s="1"/>
  <c r="J430" i="5" s="1"/>
  <c r="J431" i="5" s="1"/>
  <c r="J432" i="5" s="1"/>
  <c r="J433" i="5" s="1"/>
  <c r="J434" i="5" s="1"/>
  <c r="J435" i="5" s="1"/>
  <c r="J436" i="5" s="1"/>
  <c r="J437" i="5" s="1"/>
  <c r="L437" i="5" s="1"/>
  <c r="J413" i="5"/>
  <c r="J414" i="5" s="1"/>
  <c r="J415" i="5" s="1"/>
  <c r="J416" i="5" s="1"/>
  <c r="J417" i="5" s="1"/>
  <c r="J418" i="5" s="1"/>
  <c r="J419" i="5" s="1"/>
  <c r="J420" i="5" s="1"/>
  <c r="J421" i="5" s="1"/>
  <c r="J422" i="5" s="1"/>
  <c r="J423" i="5" s="1"/>
  <c r="J424" i="5" s="1"/>
  <c r="L424" i="5" s="1"/>
  <c r="J400" i="5"/>
  <c r="J401" i="5" s="1"/>
  <c r="J402" i="5" s="1"/>
  <c r="J403" i="5" s="1"/>
  <c r="J404" i="5" s="1"/>
  <c r="J405" i="5" s="1"/>
  <c r="J406" i="5" s="1"/>
  <c r="J407" i="5" s="1"/>
  <c r="J408" i="5" s="1"/>
  <c r="J409" i="5" s="1"/>
  <c r="J410" i="5" s="1"/>
  <c r="J411" i="5" s="1"/>
  <c r="L411" i="5" s="1"/>
  <c r="J387" i="5"/>
  <c r="J388" i="5" s="1"/>
  <c r="J389" i="5" s="1"/>
  <c r="J390" i="5" s="1"/>
  <c r="J391" i="5" s="1"/>
  <c r="J392" i="5" s="1"/>
  <c r="J393" i="5" s="1"/>
  <c r="J394" i="5" s="1"/>
  <c r="J395" i="5" s="1"/>
  <c r="J396" i="5" s="1"/>
  <c r="J397" i="5" s="1"/>
  <c r="J398" i="5" s="1"/>
  <c r="L398" i="5" s="1"/>
  <c r="J374" i="5"/>
  <c r="J375" i="5" s="1"/>
  <c r="J376" i="5" s="1"/>
  <c r="J377" i="5" s="1"/>
  <c r="J378" i="5" s="1"/>
  <c r="J379" i="5" s="1"/>
  <c r="J380" i="5" s="1"/>
  <c r="J381" i="5" s="1"/>
  <c r="J382" i="5" s="1"/>
  <c r="J383" i="5" s="1"/>
  <c r="J384" i="5" s="1"/>
  <c r="J385" i="5" s="1"/>
  <c r="L385" i="5" s="1"/>
  <c r="J353" i="5"/>
  <c r="J354" i="5" s="1"/>
  <c r="J355" i="5" s="1"/>
  <c r="J356" i="5" s="1"/>
  <c r="J357" i="5" s="1"/>
  <c r="J358" i="5" s="1"/>
  <c r="J359" i="5" s="1"/>
  <c r="J360" i="5" s="1"/>
  <c r="J361" i="5" s="1"/>
  <c r="J362" i="5" s="1"/>
  <c r="J363" i="5" s="1"/>
  <c r="J364" i="5" s="1"/>
  <c r="L364" i="5" s="1"/>
  <c r="J340" i="5"/>
  <c r="J341" i="5" s="1"/>
  <c r="J342" i="5" s="1"/>
  <c r="J343" i="5" s="1"/>
  <c r="J344" i="5" s="1"/>
  <c r="J345" i="5" s="1"/>
  <c r="J346" i="5" s="1"/>
  <c r="J347" i="5" s="1"/>
  <c r="J348" i="5" s="1"/>
  <c r="J349" i="5" s="1"/>
  <c r="J350" i="5" s="1"/>
  <c r="J351" i="5" s="1"/>
  <c r="L351" i="5" s="1"/>
  <c r="J327" i="5"/>
  <c r="J328" i="5" s="1"/>
  <c r="J329" i="5" s="1"/>
  <c r="J330" i="5" s="1"/>
  <c r="J331" i="5" s="1"/>
  <c r="J332" i="5" s="1"/>
  <c r="J333" i="5" s="1"/>
  <c r="J334" i="5" s="1"/>
  <c r="J335" i="5" s="1"/>
  <c r="J336" i="5" s="1"/>
  <c r="J337" i="5" s="1"/>
  <c r="J338" i="5" s="1"/>
  <c r="L338" i="5" s="1"/>
  <c r="J314" i="5"/>
  <c r="J315" i="5" s="1"/>
  <c r="J316" i="5" s="1"/>
  <c r="J317" i="5" s="1"/>
  <c r="J318" i="5" s="1"/>
  <c r="J319" i="5" s="1"/>
  <c r="J320" i="5" s="1"/>
  <c r="J321" i="5" s="1"/>
  <c r="J322" i="5" s="1"/>
  <c r="J323" i="5" s="1"/>
  <c r="J324" i="5" s="1"/>
  <c r="J325" i="5" s="1"/>
  <c r="L325" i="5" s="1"/>
  <c r="J301" i="5"/>
  <c r="J302" i="5" s="1"/>
  <c r="J303" i="5" s="1"/>
  <c r="J304" i="5" s="1"/>
  <c r="J305" i="5" s="1"/>
  <c r="J306" i="5" s="1"/>
  <c r="J307" i="5" s="1"/>
  <c r="J308" i="5" s="1"/>
  <c r="J309" i="5" s="1"/>
  <c r="J310" i="5" s="1"/>
  <c r="J311" i="5" s="1"/>
  <c r="J312" i="5" s="1"/>
  <c r="L312" i="5" s="1"/>
  <c r="J280" i="5"/>
  <c r="J281" i="5" s="1"/>
  <c r="J282" i="5" s="1"/>
  <c r="J283" i="5" s="1"/>
  <c r="J284" i="5" s="1"/>
  <c r="J285" i="5" s="1"/>
  <c r="J286" i="5" s="1"/>
  <c r="J287" i="5" s="1"/>
  <c r="J288" i="5" s="1"/>
  <c r="J289" i="5" s="1"/>
  <c r="J290" i="5" s="1"/>
  <c r="J291" i="5" s="1"/>
  <c r="L291" i="5" s="1"/>
  <c r="J267" i="5"/>
  <c r="J268" i="5" s="1"/>
  <c r="J269" i="5" s="1"/>
  <c r="J270" i="5" s="1"/>
  <c r="J271" i="5" s="1"/>
  <c r="J272" i="5" s="1"/>
  <c r="J273" i="5" s="1"/>
  <c r="J274" i="5" s="1"/>
  <c r="J275" i="5" s="1"/>
  <c r="J276" i="5" s="1"/>
  <c r="J277" i="5" s="1"/>
  <c r="J278" i="5" s="1"/>
  <c r="L278" i="5" s="1"/>
  <c r="J254" i="5"/>
  <c r="J255" i="5" s="1"/>
  <c r="J256" i="5" s="1"/>
  <c r="J257" i="5" s="1"/>
  <c r="J258" i="5" s="1"/>
  <c r="J259" i="5" s="1"/>
  <c r="J260" i="5" s="1"/>
  <c r="J261" i="5" s="1"/>
  <c r="J262" i="5" s="1"/>
  <c r="J263" i="5" s="1"/>
  <c r="J264" i="5" s="1"/>
  <c r="J265" i="5" s="1"/>
  <c r="L265" i="5" s="1"/>
  <c r="J241" i="5"/>
  <c r="J242" i="5" s="1"/>
  <c r="J243" i="5" s="1"/>
  <c r="J244" i="5" s="1"/>
  <c r="J245" i="5" s="1"/>
  <c r="J246" i="5" s="1"/>
  <c r="J247" i="5" s="1"/>
  <c r="J248" i="5" s="1"/>
  <c r="J249" i="5" s="1"/>
  <c r="J250" i="5" s="1"/>
  <c r="J251" i="5" s="1"/>
  <c r="J252" i="5" s="1"/>
  <c r="L252" i="5" s="1"/>
  <c r="J228" i="5"/>
  <c r="J229" i="5" s="1"/>
  <c r="J230" i="5" s="1"/>
  <c r="J231" i="5" s="1"/>
  <c r="J232" i="5" s="1"/>
  <c r="J233" i="5" s="1"/>
  <c r="J234" i="5" s="1"/>
  <c r="J235" i="5" s="1"/>
  <c r="J236" i="5" s="1"/>
  <c r="J237" i="5" s="1"/>
  <c r="J238" i="5" s="1"/>
  <c r="J239" i="5" s="1"/>
  <c r="L239" i="5" s="1"/>
  <c r="J207" i="5"/>
  <c r="J208" i="5" s="1"/>
  <c r="J209" i="5" s="1"/>
  <c r="J210" i="5" s="1"/>
  <c r="J211" i="5" s="1"/>
  <c r="J212" i="5" s="1"/>
  <c r="J213" i="5" s="1"/>
  <c r="J214" i="5" s="1"/>
  <c r="J215" i="5" s="1"/>
  <c r="J216" i="5" s="1"/>
  <c r="J217" i="5" s="1"/>
  <c r="J218" i="5" s="1"/>
  <c r="L218" i="5" s="1"/>
  <c r="J194" i="5"/>
  <c r="J195" i="5" s="1"/>
  <c r="J196" i="5" s="1"/>
  <c r="J197" i="5" s="1"/>
  <c r="J198" i="5" s="1"/>
  <c r="J199" i="5" s="1"/>
  <c r="J200" i="5" s="1"/>
  <c r="J201" i="5" s="1"/>
  <c r="J202" i="5" s="1"/>
  <c r="J203" i="5" s="1"/>
  <c r="J204" i="5" s="1"/>
  <c r="J205" i="5" s="1"/>
  <c r="L205" i="5" s="1"/>
  <c r="J181" i="5"/>
  <c r="J182" i="5" s="1"/>
  <c r="J183" i="5" s="1"/>
  <c r="J184" i="5" s="1"/>
  <c r="J185" i="5" s="1"/>
  <c r="J186" i="5" s="1"/>
  <c r="J187" i="5" s="1"/>
  <c r="J188" i="5" s="1"/>
  <c r="J189" i="5" s="1"/>
  <c r="J190" i="5" s="1"/>
  <c r="J191" i="5" s="1"/>
  <c r="J192" i="5" s="1"/>
  <c r="L192" i="5" s="1"/>
  <c r="J168" i="5"/>
  <c r="J169" i="5" s="1"/>
  <c r="J170" i="5" s="1"/>
  <c r="J171" i="5" s="1"/>
  <c r="J172" i="5" s="1"/>
  <c r="J173" i="5" s="1"/>
  <c r="J174" i="5" s="1"/>
  <c r="J175" i="5" s="1"/>
  <c r="J176" i="5" s="1"/>
  <c r="J177" i="5" s="1"/>
  <c r="J178" i="5" s="1"/>
  <c r="J179" i="5" s="1"/>
  <c r="L179" i="5" s="1"/>
  <c r="J155" i="5"/>
  <c r="J156" i="5" s="1"/>
  <c r="J157" i="5" s="1"/>
  <c r="J158" i="5" s="1"/>
  <c r="J159" i="5" s="1"/>
  <c r="J160" i="5" s="1"/>
  <c r="J161" i="5" s="1"/>
  <c r="J162" i="5" s="1"/>
  <c r="J163" i="5" s="1"/>
  <c r="J164" i="5" s="1"/>
  <c r="J165" i="5" s="1"/>
  <c r="J166" i="5" s="1"/>
  <c r="L166" i="5" s="1"/>
  <c r="J134" i="5"/>
  <c r="J135" i="5" s="1"/>
  <c r="J136" i="5" s="1"/>
  <c r="J137" i="5" s="1"/>
  <c r="J138" i="5" s="1"/>
  <c r="J139" i="5" s="1"/>
  <c r="J140" i="5" s="1"/>
  <c r="J141" i="5" s="1"/>
  <c r="J142" i="5" s="1"/>
  <c r="J143" i="5" s="1"/>
  <c r="J144" i="5" s="1"/>
  <c r="J145" i="5" s="1"/>
  <c r="L145" i="5" s="1"/>
  <c r="J121" i="5"/>
  <c r="J122" i="5" s="1"/>
  <c r="J123" i="5" s="1"/>
  <c r="J124" i="5" s="1"/>
  <c r="J125" i="5" s="1"/>
  <c r="J126" i="5" s="1"/>
  <c r="J127" i="5" s="1"/>
  <c r="J128" i="5" s="1"/>
  <c r="J129" i="5" s="1"/>
  <c r="J130" i="5" s="1"/>
  <c r="J131" i="5" s="1"/>
  <c r="J132" i="5" s="1"/>
  <c r="L132" i="5" s="1"/>
  <c r="J108" i="5"/>
  <c r="J109" i="5" s="1"/>
  <c r="J110" i="5" s="1"/>
  <c r="J111" i="5" s="1"/>
  <c r="J112" i="5" s="1"/>
  <c r="J113" i="5" s="1"/>
  <c r="J114" i="5" s="1"/>
  <c r="J115" i="5" s="1"/>
  <c r="J116" i="5" s="1"/>
  <c r="J117" i="5" s="1"/>
  <c r="J118" i="5" s="1"/>
  <c r="J119" i="5" s="1"/>
  <c r="L119" i="5" s="1"/>
  <c r="J95" i="5"/>
  <c r="J96" i="5" s="1"/>
  <c r="J97" i="5" s="1"/>
  <c r="J98" i="5" s="1"/>
  <c r="J99" i="5" s="1"/>
  <c r="J100" i="5" s="1"/>
  <c r="J101" i="5" s="1"/>
  <c r="J102" i="5" s="1"/>
  <c r="J103" i="5" s="1"/>
  <c r="J104" i="5" s="1"/>
  <c r="J105" i="5" s="1"/>
  <c r="J106" i="5" s="1"/>
  <c r="L106" i="5" s="1"/>
  <c r="J82" i="5"/>
  <c r="J83" i="5" s="1"/>
  <c r="J84" i="5" s="1"/>
  <c r="J85" i="5" s="1"/>
  <c r="J86" i="5" s="1"/>
  <c r="J87" i="5" s="1"/>
  <c r="J88" i="5" s="1"/>
  <c r="J89" i="5" s="1"/>
  <c r="J90" i="5" s="1"/>
  <c r="J91" i="5" s="1"/>
  <c r="J92" i="5" s="1"/>
  <c r="J93" i="5" s="1"/>
  <c r="L93" i="5" s="1"/>
  <c r="J61" i="5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L72" i="5" s="1"/>
  <c r="J48" i="5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L59" i="5" s="1"/>
  <c r="J35" i="5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L46" i="5" s="1"/>
  <c r="J22" i="5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L33" i="5" s="1"/>
  <c r="J9" i="5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L20" i="5" s="1"/>
  <c r="AB66" i="7" l="1"/>
  <c r="AB212" i="7"/>
  <c r="AB213" i="7"/>
  <c r="AB145" i="7"/>
  <c r="AB146" i="7"/>
  <c r="AB201" i="7" s="1"/>
  <c r="AB72" i="7"/>
  <c r="AB80" i="7" s="1"/>
  <c r="AB144" i="7"/>
  <c r="AB75" i="7"/>
  <c r="AB71" i="7"/>
  <c r="AB79" i="7" s="1"/>
  <c r="AB73" i="7"/>
  <c r="AB81" i="7" s="1"/>
  <c r="AB76" i="7"/>
  <c r="AB84" i="7" s="1"/>
  <c r="AB171" i="7" s="1"/>
  <c r="AB82" i="7"/>
  <c r="P46" i="7"/>
  <c r="O99" i="7"/>
  <c r="AC3" i="7"/>
  <c r="AC247" i="7" s="1"/>
  <c r="P45" i="7"/>
  <c r="O29" i="7"/>
  <c r="P75" i="7"/>
  <c r="AB107" i="7"/>
  <c r="O35" i="7"/>
  <c r="O51" i="7"/>
  <c r="O66" i="7"/>
  <c r="Q2" i="7"/>
  <c r="Q109" i="7" s="1"/>
  <c r="O47" i="7"/>
  <c r="P38" i="7"/>
  <c r="P73" i="7"/>
  <c r="O106" i="7"/>
  <c r="O39" i="7"/>
  <c r="P110" i="7"/>
  <c r="P37" i="7"/>
  <c r="P49" i="7"/>
  <c r="P51" i="7" s="1"/>
  <c r="O53" i="7"/>
  <c r="O41" i="7"/>
  <c r="P109" i="7"/>
  <c r="P101" i="7"/>
  <c r="P104" i="7"/>
  <c r="P103" i="7"/>
  <c r="P97" i="7"/>
  <c r="P96" i="7"/>
  <c r="P60" i="7"/>
  <c r="P59" i="7"/>
  <c r="P62" i="7"/>
  <c r="P58" i="7"/>
  <c r="P27" i="7"/>
  <c r="P16" i="7"/>
  <c r="P74" i="7"/>
  <c r="P72" i="7"/>
  <c r="P64" i="7"/>
  <c r="P63" i="7"/>
  <c r="P57" i="7"/>
  <c r="P33" i="7"/>
  <c r="P28" i="7"/>
  <c r="P20" i="7"/>
  <c r="P19" i="7"/>
  <c r="P17" i="7"/>
  <c r="P102" i="7"/>
  <c r="P76" i="7"/>
  <c r="P34" i="7"/>
  <c r="P71" i="7"/>
  <c r="O112" i="7"/>
  <c r="AB106" i="7"/>
  <c r="O107" i="7"/>
  <c r="AD231" i="7"/>
  <c r="F207" i="7"/>
  <c r="F195" i="7"/>
  <c r="L257" i="5"/>
  <c r="L48" i="5"/>
  <c r="L374" i="5"/>
  <c r="L136" i="5"/>
  <c r="L30" i="5"/>
  <c r="L113" i="5"/>
  <c r="L209" i="5"/>
  <c r="L22" i="5"/>
  <c r="L144" i="5"/>
  <c r="L234" i="5"/>
  <c r="L24" i="5"/>
  <c r="L26" i="5"/>
  <c r="L96" i="5"/>
  <c r="L336" i="5"/>
  <c r="L16" i="5"/>
  <c r="L54" i="5"/>
  <c r="L129" i="5"/>
  <c r="L176" i="5"/>
  <c r="L250" i="5"/>
  <c r="L289" i="5"/>
  <c r="L17" i="5"/>
  <c r="L32" i="5"/>
  <c r="L56" i="5"/>
  <c r="L97" i="5"/>
  <c r="L114" i="5"/>
  <c r="L130" i="5"/>
  <c r="L177" i="5"/>
  <c r="L214" i="5"/>
  <c r="L238" i="5"/>
  <c r="L290" i="5"/>
  <c r="L337" i="5"/>
  <c r="L353" i="5"/>
  <c r="L376" i="5"/>
  <c r="L400" i="5"/>
  <c r="L18" i="5"/>
  <c r="L57" i="5"/>
  <c r="L102" i="5"/>
  <c r="L118" i="5"/>
  <c r="L178" i="5"/>
  <c r="L216" i="5"/>
  <c r="L254" i="5"/>
  <c r="L354" i="5"/>
  <c r="L377" i="5"/>
  <c r="L401" i="5"/>
  <c r="L58" i="5"/>
  <c r="L104" i="5"/>
  <c r="L134" i="5"/>
  <c r="L217" i="5"/>
  <c r="L241" i="5"/>
  <c r="L256" i="5"/>
  <c r="L280" i="5"/>
  <c r="L342" i="5"/>
  <c r="L358" i="5"/>
  <c r="L378" i="5"/>
  <c r="L406" i="5"/>
  <c r="L105" i="5"/>
  <c r="L121" i="5"/>
  <c r="L168" i="5"/>
  <c r="L242" i="5"/>
  <c r="L281" i="5"/>
  <c r="L344" i="5"/>
  <c r="L360" i="5"/>
  <c r="L382" i="5"/>
  <c r="L408" i="5"/>
  <c r="L122" i="5"/>
  <c r="L137" i="5"/>
  <c r="L169" i="5"/>
  <c r="L198" i="5"/>
  <c r="L230" i="5"/>
  <c r="L246" i="5"/>
  <c r="L258" i="5"/>
  <c r="L282" i="5"/>
  <c r="L328" i="5"/>
  <c r="L345" i="5"/>
  <c r="L361" i="5"/>
  <c r="L384" i="5"/>
  <c r="L409" i="5"/>
  <c r="L10" i="5"/>
  <c r="L25" i="5"/>
  <c r="L49" i="5"/>
  <c r="L86" i="5"/>
  <c r="L110" i="5"/>
  <c r="L126" i="5"/>
  <c r="L138" i="5"/>
  <c r="L170" i="5"/>
  <c r="L232" i="5"/>
  <c r="L248" i="5"/>
  <c r="L262" i="5"/>
  <c r="L286" i="5"/>
  <c r="L329" i="5"/>
  <c r="L346" i="5"/>
  <c r="L362" i="5"/>
  <c r="L14" i="5"/>
  <c r="L50" i="5"/>
  <c r="L112" i="5"/>
  <c r="L128" i="5"/>
  <c r="L142" i="5"/>
  <c r="L174" i="5"/>
  <c r="L208" i="5"/>
  <c r="L233" i="5"/>
  <c r="L249" i="5"/>
  <c r="L264" i="5"/>
  <c r="L288" i="5"/>
  <c r="L334" i="5"/>
  <c r="L350" i="5"/>
  <c r="L70" i="5"/>
  <c r="L158" i="5"/>
  <c r="L414" i="5"/>
  <c r="L430" i="5"/>
  <c r="L38" i="5"/>
  <c r="L62" i="5"/>
  <c r="L182" i="5"/>
  <c r="L190" i="5"/>
  <c r="L270" i="5"/>
  <c r="L302" i="5"/>
  <c r="L310" i="5"/>
  <c r="L318" i="5"/>
  <c r="L390" i="5"/>
  <c r="L422" i="5"/>
  <c r="L15" i="5"/>
  <c r="L23" i="5"/>
  <c r="L31" i="5"/>
  <c r="L39" i="5"/>
  <c r="L55" i="5"/>
  <c r="L63" i="5"/>
  <c r="L71" i="5"/>
  <c r="L87" i="5"/>
  <c r="L95" i="5"/>
  <c r="L103" i="5"/>
  <c r="L111" i="5"/>
  <c r="L127" i="5"/>
  <c r="L135" i="5"/>
  <c r="L143" i="5"/>
  <c r="L159" i="5"/>
  <c r="L175" i="5"/>
  <c r="L183" i="5"/>
  <c r="L191" i="5"/>
  <c r="L199" i="5"/>
  <c r="L207" i="5"/>
  <c r="L215" i="5"/>
  <c r="L231" i="5"/>
  <c r="L247" i="5"/>
  <c r="L255" i="5"/>
  <c r="L263" i="5"/>
  <c r="L271" i="5"/>
  <c r="L287" i="5"/>
  <c r="L303" i="5"/>
  <c r="L311" i="5"/>
  <c r="L319" i="5"/>
  <c r="L327" i="5"/>
  <c r="L335" i="5"/>
  <c r="L343" i="5"/>
  <c r="L359" i="5"/>
  <c r="L375" i="5"/>
  <c r="L383" i="5"/>
  <c r="L391" i="5"/>
  <c r="L407" i="5"/>
  <c r="L415" i="5"/>
  <c r="L423" i="5"/>
  <c r="L431" i="5"/>
  <c r="L40" i="5"/>
  <c r="L64" i="5"/>
  <c r="L88" i="5"/>
  <c r="L160" i="5"/>
  <c r="L184" i="5"/>
  <c r="L200" i="5"/>
  <c r="L272" i="5"/>
  <c r="L304" i="5"/>
  <c r="L320" i="5"/>
  <c r="L392" i="5"/>
  <c r="L416" i="5"/>
  <c r="L432" i="5"/>
  <c r="L185" i="5"/>
  <c r="L305" i="5"/>
  <c r="L321" i="5"/>
  <c r="L417" i="5"/>
  <c r="L433" i="5"/>
  <c r="L42" i="5"/>
  <c r="L66" i="5"/>
  <c r="L82" i="5"/>
  <c r="L90" i="5"/>
  <c r="L98" i="5"/>
  <c r="L162" i="5"/>
  <c r="L186" i="5"/>
  <c r="L194" i="5"/>
  <c r="L202" i="5"/>
  <c r="L210" i="5"/>
  <c r="L274" i="5"/>
  <c r="L306" i="5"/>
  <c r="L314" i="5"/>
  <c r="L322" i="5"/>
  <c r="L330" i="5"/>
  <c r="L394" i="5"/>
  <c r="L402" i="5"/>
  <c r="L410" i="5"/>
  <c r="L418" i="5"/>
  <c r="L426" i="5"/>
  <c r="L434" i="5"/>
  <c r="L41" i="5"/>
  <c r="L201" i="5"/>
  <c r="L11" i="5"/>
  <c r="L19" i="5"/>
  <c r="L27" i="5"/>
  <c r="L35" i="5"/>
  <c r="L43" i="5"/>
  <c r="L51" i="5"/>
  <c r="L67" i="5"/>
  <c r="L83" i="5"/>
  <c r="L91" i="5"/>
  <c r="L99" i="5"/>
  <c r="L115" i="5"/>
  <c r="L123" i="5"/>
  <c r="L131" i="5"/>
  <c r="L139" i="5"/>
  <c r="L155" i="5"/>
  <c r="L163" i="5"/>
  <c r="L171" i="5"/>
  <c r="L187" i="5"/>
  <c r="L195" i="5"/>
  <c r="L203" i="5"/>
  <c r="L211" i="5"/>
  <c r="L235" i="5"/>
  <c r="L243" i="5"/>
  <c r="L251" i="5"/>
  <c r="L259" i="5"/>
  <c r="L267" i="5"/>
  <c r="L275" i="5"/>
  <c r="L283" i="5"/>
  <c r="L307" i="5"/>
  <c r="L315" i="5"/>
  <c r="L323" i="5"/>
  <c r="L331" i="5"/>
  <c r="L347" i="5"/>
  <c r="L355" i="5"/>
  <c r="L363" i="5"/>
  <c r="L379" i="5"/>
  <c r="L387" i="5"/>
  <c r="L395" i="5"/>
  <c r="L403" i="5"/>
  <c r="L419" i="5"/>
  <c r="L427" i="5"/>
  <c r="L435" i="5"/>
  <c r="L65" i="5"/>
  <c r="L273" i="5"/>
  <c r="L393" i="5"/>
  <c r="L12" i="5"/>
  <c r="L28" i="5"/>
  <c r="L36" i="5"/>
  <c r="L44" i="5"/>
  <c r="L52" i="5"/>
  <c r="L68" i="5"/>
  <c r="L84" i="5"/>
  <c r="L92" i="5"/>
  <c r="L100" i="5"/>
  <c r="L108" i="5"/>
  <c r="L116" i="5"/>
  <c r="L124" i="5"/>
  <c r="L140" i="5"/>
  <c r="L156" i="5"/>
  <c r="L164" i="5"/>
  <c r="L172" i="5"/>
  <c r="L188" i="5"/>
  <c r="L196" i="5"/>
  <c r="L204" i="5"/>
  <c r="L212" i="5"/>
  <c r="L228" i="5"/>
  <c r="L236" i="5"/>
  <c r="L244" i="5"/>
  <c r="L260" i="5"/>
  <c r="L268" i="5"/>
  <c r="L276" i="5"/>
  <c r="L284" i="5"/>
  <c r="L308" i="5"/>
  <c r="L316" i="5"/>
  <c r="L324" i="5"/>
  <c r="L332" i="5"/>
  <c r="L340" i="5"/>
  <c r="L348" i="5"/>
  <c r="L356" i="5"/>
  <c r="L380" i="5"/>
  <c r="L388" i="5"/>
  <c r="L396" i="5"/>
  <c r="L404" i="5"/>
  <c r="L420" i="5"/>
  <c r="L428" i="5"/>
  <c r="L436" i="5"/>
  <c r="L89" i="5"/>
  <c r="L161" i="5"/>
  <c r="L13" i="5"/>
  <c r="L29" i="5"/>
  <c r="L37" i="5"/>
  <c r="L45" i="5"/>
  <c r="L53" i="5"/>
  <c r="L61" i="5"/>
  <c r="L69" i="5"/>
  <c r="L85" i="5"/>
  <c r="L101" i="5"/>
  <c r="L109" i="5"/>
  <c r="L117" i="5"/>
  <c r="L125" i="5"/>
  <c r="L141" i="5"/>
  <c r="L157" i="5"/>
  <c r="L165" i="5"/>
  <c r="L173" i="5"/>
  <c r="L181" i="5"/>
  <c r="L189" i="5"/>
  <c r="L197" i="5"/>
  <c r="L213" i="5"/>
  <c r="L229" i="5"/>
  <c r="L237" i="5"/>
  <c r="L245" i="5"/>
  <c r="L261" i="5"/>
  <c r="L269" i="5"/>
  <c r="L277" i="5"/>
  <c r="L285" i="5"/>
  <c r="L301" i="5"/>
  <c r="L309" i="5"/>
  <c r="L317" i="5"/>
  <c r="L333" i="5"/>
  <c r="L341" i="5"/>
  <c r="L349" i="5"/>
  <c r="L357" i="5"/>
  <c r="L381" i="5"/>
  <c r="L389" i="5"/>
  <c r="L397" i="5"/>
  <c r="L405" i="5"/>
  <c r="L413" i="5"/>
  <c r="L421" i="5"/>
  <c r="L429" i="5"/>
  <c r="L9" i="5"/>
  <c r="AB199" i="7" l="1"/>
  <c r="AB200" i="7"/>
  <c r="AB198" i="7" s="1"/>
  <c r="AC66" i="7"/>
  <c r="AC212" i="7"/>
  <c r="AC213" i="7"/>
  <c r="AB214" i="7"/>
  <c r="AB215" i="7" s="1"/>
  <c r="AC144" i="7"/>
  <c r="AC199" i="7" s="1"/>
  <c r="AC146" i="7"/>
  <c r="AC201" i="7" s="1"/>
  <c r="AC75" i="7"/>
  <c r="AC72" i="7"/>
  <c r="AC80" i="7" s="1"/>
  <c r="AC73" i="7"/>
  <c r="AC81" i="7" s="1"/>
  <c r="AC168" i="7" s="1"/>
  <c r="AC71" i="7"/>
  <c r="AC79" i="7" s="1"/>
  <c r="AC145" i="7"/>
  <c r="AC200" i="7" s="1"/>
  <c r="AC76" i="7"/>
  <c r="AC84" i="7" s="1"/>
  <c r="AC171" i="7" s="1"/>
  <c r="AB83" i="7"/>
  <c r="AB170" i="7" s="1"/>
  <c r="AC82" i="7"/>
  <c r="Q9" i="7"/>
  <c r="Z9" i="7"/>
  <c r="X9" i="7"/>
  <c r="W9" i="7"/>
  <c r="V9" i="7"/>
  <c r="U9" i="7"/>
  <c r="S9" i="7"/>
  <c r="R9" i="7"/>
  <c r="O9" i="7"/>
  <c r="T9" i="7"/>
  <c r="Y9" i="7"/>
  <c r="P9" i="7"/>
  <c r="AA9" i="7"/>
  <c r="F208" i="7"/>
  <c r="F196" i="7"/>
  <c r="AC106" i="7"/>
  <c r="P47" i="7"/>
  <c r="P53" i="7"/>
  <c r="Q38" i="7"/>
  <c r="Q20" i="7"/>
  <c r="P106" i="7"/>
  <c r="Q16" i="7"/>
  <c r="R2" i="7"/>
  <c r="R76" i="7" s="1"/>
  <c r="Q97" i="7"/>
  <c r="AC107" i="7"/>
  <c r="AD3" i="7"/>
  <c r="AD247" i="7" s="1"/>
  <c r="Q71" i="7"/>
  <c r="Q45" i="7"/>
  <c r="Q28" i="7"/>
  <c r="Q27" i="7"/>
  <c r="Q59" i="7"/>
  <c r="Q75" i="7"/>
  <c r="Q76" i="7"/>
  <c r="Q33" i="7"/>
  <c r="Q58" i="7"/>
  <c r="Q103" i="7"/>
  <c r="Q46" i="7"/>
  <c r="Q101" i="7"/>
  <c r="Q57" i="7"/>
  <c r="Q62" i="7"/>
  <c r="Q60" i="7"/>
  <c r="Q73" i="7"/>
  <c r="Q49" i="7"/>
  <c r="Q102" i="7"/>
  <c r="Q63" i="7"/>
  <c r="Q96" i="7"/>
  <c r="Q50" i="7"/>
  <c r="Q64" i="7"/>
  <c r="Q104" i="7"/>
  <c r="Q34" i="7"/>
  <c r="Q17" i="7"/>
  <c r="Q72" i="7"/>
  <c r="Q110" i="7"/>
  <c r="Q37" i="7"/>
  <c r="Q19" i="7"/>
  <c r="Q74" i="7"/>
  <c r="P41" i="7"/>
  <c r="P35" i="7"/>
  <c r="P39" i="7"/>
  <c r="AE231" i="7"/>
  <c r="AD230" i="7"/>
  <c r="P107" i="7"/>
  <c r="P66" i="7"/>
  <c r="P29" i="7"/>
  <c r="P24" i="7"/>
  <c r="P112" i="7"/>
  <c r="P99" i="7"/>
  <c r="AC214" i="7" l="1"/>
  <c r="AC215" i="7" s="1"/>
  <c r="AD66" i="7"/>
  <c r="AD212" i="7"/>
  <c r="AD213" i="7"/>
  <c r="AB211" i="7"/>
  <c r="AC211" i="7"/>
  <c r="AC198" i="7"/>
  <c r="AD145" i="7"/>
  <c r="AD75" i="7"/>
  <c r="AD71" i="7"/>
  <c r="AD79" i="7" s="1"/>
  <c r="AD73" i="7"/>
  <c r="AD81" i="7" s="1"/>
  <c r="AD168" i="7" s="1"/>
  <c r="AD144" i="7"/>
  <c r="AD199" i="7" s="1"/>
  <c r="AD72" i="7"/>
  <c r="AD80" i="7" s="1"/>
  <c r="AD146" i="7"/>
  <c r="AD201" i="7" s="1"/>
  <c r="AD76" i="7"/>
  <c r="AD84" i="7" s="1"/>
  <c r="AD171" i="7" s="1"/>
  <c r="AC83" i="7"/>
  <c r="AC170" i="7" s="1"/>
  <c r="AD82" i="7"/>
  <c r="Q39" i="7"/>
  <c r="R49" i="7"/>
  <c r="R102" i="7"/>
  <c r="R46" i="7"/>
  <c r="Q99" i="7"/>
  <c r="R71" i="7"/>
  <c r="Q112" i="7"/>
  <c r="R104" i="7"/>
  <c r="Q41" i="7"/>
  <c r="R62" i="7"/>
  <c r="R20" i="7"/>
  <c r="R50" i="7"/>
  <c r="R16" i="7"/>
  <c r="R17" i="7"/>
  <c r="R27" i="7"/>
  <c r="R24" i="7" s="1"/>
  <c r="R19" i="7"/>
  <c r="R63" i="7"/>
  <c r="R59" i="7"/>
  <c r="R33" i="7"/>
  <c r="R96" i="7"/>
  <c r="R38" i="7"/>
  <c r="R103" i="7"/>
  <c r="R58" i="7"/>
  <c r="R37" i="7"/>
  <c r="R72" i="7"/>
  <c r="Q29" i="7"/>
  <c r="R97" i="7"/>
  <c r="Q47" i="7"/>
  <c r="Q53" i="7"/>
  <c r="S2" i="7"/>
  <c r="S104" i="7" s="1"/>
  <c r="R101" i="7"/>
  <c r="R64" i="7"/>
  <c r="R110" i="7"/>
  <c r="R74" i="7"/>
  <c r="R60" i="7"/>
  <c r="R34" i="7"/>
  <c r="R28" i="7"/>
  <c r="R109" i="7"/>
  <c r="Q24" i="7"/>
  <c r="Q35" i="7"/>
  <c r="R75" i="7"/>
  <c r="R73" i="7"/>
  <c r="R45" i="7"/>
  <c r="R57" i="7"/>
  <c r="Q66" i="7"/>
  <c r="AE3" i="7"/>
  <c r="AE247" i="7" s="1"/>
  <c r="AD106" i="7"/>
  <c r="Q107" i="7"/>
  <c r="AD107" i="7"/>
  <c r="Q51" i="7"/>
  <c r="Q106" i="7"/>
  <c r="AF231" i="7"/>
  <c r="AE230" i="7"/>
  <c r="AD200" i="7" l="1"/>
  <c r="AE66" i="7"/>
  <c r="AE212" i="7"/>
  <c r="AE213" i="7"/>
  <c r="AD214" i="7"/>
  <c r="AD215" i="7" s="1"/>
  <c r="AD198" i="7"/>
  <c r="AE144" i="7"/>
  <c r="AE199" i="7" s="1"/>
  <c r="AE145" i="7"/>
  <c r="AE200" i="7" s="1"/>
  <c r="AE71" i="7"/>
  <c r="AE79" i="7" s="1"/>
  <c r="AE146" i="7"/>
  <c r="AE201" i="7" s="1"/>
  <c r="AE72" i="7"/>
  <c r="AE80" i="7" s="1"/>
  <c r="AE75" i="7"/>
  <c r="AE73" i="7"/>
  <c r="AE81" i="7" s="1"/>
  <c r="AE168" i="7" s="1"/>
  <c r="AE76" i="7"/>
  <c r="AE84" i="7" s="1"/>
  <c r="AE171" i="7" s="1"/>
  <c r="AD83" i="7"/>
  <c r="AD170" i="7" s="1"/>
  <c r="AE82" i="7"/>
  <c r="R66" i="7"/>
  <c r="R51" i="7"/>
  <c r="R47" i="7"/>
  <c r="R29" i="7"/>
  <c r="R107" i="7"/>
  <c r="R35" i="7"/>
  <c r="R41" i="7"/>
  <c r="R99" i="7"/>
  <c r="R39" i="7"/>
  <c r="R112" i="7"/>
  <c r="S57" i="7"/>
  <c r="S64" i="7"/>
  <c r="S74" i="7"/>
  <c r="S16" i="7"/>
  <c r="S76" i="7"/>
  <c r="S59" i="7"/>
  <c r="S50" i="7"/>
  <c r="S71" i="7"/>
  <c r="S72" i="7"/>
  <c r="S28" i="7"/>
  <c r="S45" i="7"/>
  <c r="S17" i="7"/>
  <c r="S96" i="7"/>
  <c r="S62" i="7"/>
  <c r="S97" i="7"/>
  <c r="S46" i="7"/>
  <c r="S101" i="7"/>
  <c r="R106" i="7"/>
  <c r="S20" i="7"/>
  <c r="S33" i="7"/>
  <c r="S63" i="7"/>
  <c r="S49" i="7"/>
  <c r="S102" i="7"/>
  <c r="S60" i="7"/>
  <c r="S27" i="7"/>
  <c r="S75" i="7"/>
  <c r="S37" i="7"/>
  <c r="S109" i="7"/>
  <c r="S19" i="7"/>
  <c r="S73" i="7"/>
  <c r="S34" i="7"/>
  <c r="S103" i="7"/>
  <c r="T2" i="7"/>
  <c r="T50" i="7" s="1"/>
  <c r="S58" i="7"/>
  <c r="S110" i="7"/>
  <c r="S38" i="7"/>
  <c r="R53" i="7"/>
  <c r="AF3" i="7"/>
  <c r="AF247" i="7" s="1"/>
  <c r="AE106" i="7"/>
  <c r="AE107" i="7"/>
  <c r="AG231" i="7"/>
  <c r="AF230" i="7"/>
  <c r="AE214" i="7" l="1"/>
  <c r="AE215" i="7" s="1"/>
  <c r="AF66" i="7"/>
  <c r="AD211" i="7"/>
  <c r="AF212" i="7"/>
  <c r="AF213" i="7"/>
  <c r="AE211" i="7"/>
  <c r="AE198" i="7"/>
  <c r="AF146" i="7"/>
  <c r="AF201" i="7" s="1"/>
  <c r="AF72" i="7"/>
  <c r="AF80" i="7" s="1"/>
  <c r="AF144" i="7"/>
  <c r="AF199" i="7" s="1"/>
  <c r="AF75" i="7"/>
  <c r="AF145" i="7"/>
  <c r="AF200" i="7" s="1"/>
  <c r="AF71" i="7"/>
  <c r="AF79" i="7" s="1"/>
  <c r="AF73" i="7"/>
  <c r="AF81" i="7" s="1"/>
  <c r="AF168" i="7" s="1"/>
  <c r="AF76" i="7"/>
  <c r="AF84" i="7" s="1"/>
  <c r="AF171" i="7" s="1"/>
  <c r="AE83" i="7"/>
  <c r="AE170" i="7" s="1"/>
  <c r="AF82" i="7"/>
  <c r="S112" i="7"/>
  <c r="S51" i="7"/>
  <c r="S29" i="7"/>
  <c r="T110" i="7"/>
  <c r="S66" i="7"/>
  <c r="T76" i="7"/>
  <c r="T59" i="7"/>
  <c r="T97" i="7"/>
  <c r="S24" i="7"/>
  <c r="S53" i="7"/>
  <c r="T102" i="7"/>
  <c r="S35" i="7"/>
  <c r="T33" i="7"/>
  <c r="T64" i="7"/>
  <c r="T27" i="7"/>
  <c r="T24" i="7" s="1"/>
  <c r="S99" i="7"/>
  <c r="T109" i="7"/>
  <c r="T37" i="7"/>
  <c r="T63" i="7"/>
  <c r="T73" i="7"/>
  <c r="T72" i="7"/>
  <c r="T45" i="7"/>
  <c r="T53" i="7" s="1"/>
  <c r="T19" i="7"/>
  <c r="T75" i="7"/>
  <c r="T96" i="7"/>
  <c r="S47" i="7"/>
  <c r="T17" i="7"/>
  <c r="T20" i="7"/>
  <c r="T16" i="7"/>
  <c r="T58" i="7"/>
  <c r="T38" i="7"/>
  <c r="U2" i="7"/>
  <c r="U101" i="7" s="1"/>
  <c r="T57" i="7"/>
  <c r="T34" i="7"/>
  <c r="T103" i="7"/>
  <c r="T49" i="7"/>
  <c r="T51" i="7" s="1"/>
  <c r="S107" i="7"/>
  <c r="T62" i="7"/>
  <c r="T101" i="7"/>
  <c r="T104" i="7"/>
  <c r="T46" i="7"/>
  <c r="T28" i="7"/>
  <c r="T74" i="7"/>
  <c r="T60" i="7"/>
  <c r="T71" i="7"/>
  <c r="S39" i="7"/>
  <c r="S106" i="7"/>
  <c r="S41" i="7"/>
  <c r="AG3" i="7"/>
  <c r="AG247" i="7" s="1"/>
  <c r="AF107" i="7"/>
  <c r="AF106" i="7"/>
  <c r="AH231" i="7"/>
  <c r="AG230" i="7"/>
  <c r="AG66" i="7" l="1"/>
  <c r="AF214" i="7"/>
  <c r="AF215" i="7" s="1"/>
  <c r="AG212" i="7"/>
  <c r="AG213" i="7"/>
  <c r="AF198" i="7"/>
  <c r="AG146" i="7"/>
  <c r="AG201" i="7" s="1"/>
  <c r="AG145" i="7"/>
  <c r="AG200" i="7" s="1"/>
  <c r="AG71" i="7"/>
  <c r="AG79" i="7" s="1"/>
  <c r="AG144" i="7"/>
  <c r="AG199" i="7" s="1"/>
  <c r="AG75" i="7"/>
  <c r="AG73" i="7"/>
  <c r="AG81" i="7" s="1"/>
  <c r="AG168" i="7" s="1"/>
  <c r="AG72" i="7"/>
  <c r="AG80" i="7" s="1"/>
  <c r="AG76" i="7"/>
  <c r="AG84" i="7" s="1"/>
  <c r="AG171" i="7" s="1"/>
  <c r="AF83" i="7"/>
  <c r="AF170" i="7" s="1"/>
  <c r="AG82" i="7"/>
  <c r="T66" i="7"/>
  <c r="U33" i="7"/>
  <c r="U60" i="7"/>
  <c r="U110" i="7"/>
  <c r="U58" i="7"/>
  <c r="U109" i="7"/>
  <c r="U103" i="7"/>
  <c r="U102" i="7"/>
  <c r="U37" i="7"/>
  <c r="U96" i="7"/>
  <c r="U76" i="7"/>
  <c r="U46" i="7"/>
  <c r="U72" i="7"/>
  <c r="T35" i="7"/>
  <c r="U59" i="7"/>
  <c r="T107" i="7"/>
  <c r="T41" i="7"/>
  <c r="V2" i="7"/>
  <c r="V75" i="7" s="1"/>
  <c r="U27" i="7"/>
  <c r="U24" i="7" s="1"/>
  <c r="U38" i="7"/>
  <c r="U63" i="7"/>
  <c r="U71" i="7"/>
  <c r="U62" i="7"/>
  <c r="U97" i="7"/>
  <c r="U34" i="7"/>
  <c r="U57" i="7"/>
  <c r="U16" i="7"/>
  <c r="U73" i="7"/>
  <c r="U104" i="7"/>
  <c r="U17" i="7"/>
  <c r="U74" i="7"/>
  <c r="U49" i="7"/>
  <c r="U75" i="7"/>
  <c r="U64" i="7"/>
  <c r="U20" i="7"/>
  <c r="U45" i="7"/>
  <c r="U28" i="7"/>
  <c r="U19" i="7"/>
  <c r="U50" i="7"/>
  <c r="T47" i="7"/>
  <c r="T29" i="7"/>
  <c r="T112" i="7"/>
  <c r="T106" i="7"/>
  <c r="T39" i="7"/>
  <c r="T99" i="7"/>
  <c r="AG106" i="7"/>
  <c r="AG16" i="7"/>
  <c r="AG127" i="7" s="1"/>
  <c r="AG20" i="7"/>
  <c r="AG129" i="7" s="1"/>
  <c r="AG19" i="7"/>
  <c r="AG17" i="7"/>
  <c r="AG128" i="7" s="1"/>
  <c r="AG107" i="7"/>
  <c r="AH3" i="7"/>
  <c r="AH247" i="7" s="1"/>
  <c r="AI231" i="7"/>
  <c r="AH230" i="7"/>
  <c r="AG214" i="7" l="1"/>
  <c r="AG215" i="7" s="1"/>
  <c r="AH66" i="7"/>
  <c r="AH212" i="7"/>
  <c r="AH213" i="7"/>
  <c r="AF211" i="7"/>
  <c r="AG198" i="7"/>
  <c r="AH146" i="7"/>
  <c r="AH201" i="7" s="1"/>
  <c r="AH73" i="7"/>
  <c r="AH81" i="7" s="1"/>
  <c r="AH168" i="7" s="1"/>
  <c r="AH144" i="7"/>
  <c r="AH199" i="7" s="1"/>
  <c r="AH145" i="7"/>
  <c r="AH200" i="7" s="1"/>
  <c r="AH75" i="7"/>
  <c r="AH71" i="7"/>
  <c r="AH79" i="7" s="1"/>
  <c r="AH72" i="7"/>
  <c r="AH80" i="7" s="1"/>
  <c r="AH76" i="7"/>
  <c r="AH84" i="7" s="1"/>
  <c r="AH171" i="7" s="1"/>
  <c r="AG83" i="7"/>
  <c r="AG170" i="7" s="1"/>
  <c r="AH82" i="7"/>
  <c r="U35" i="7"/>
  <c r="U106" i="7"/>
  <c r="U107" i="7"/>
  <c r="U47" i="7"/>
  <c r="V76" i="7"/>
  <c r="V109" i="7"/>
  <c r="V102" i="7"/>
  <c r="U99" i="7"/>
  <c r="V72" i="7"/>
  <c r="U112" i="7"/>
  <c r="V45" i="7"/>
  <c r="V33" i="7"/>
  <c r="V104" i="7"/>
  <c r="V59" i="7"/>
  <c r="V101" i="7"/>
  <c r="V46" i="7"/>
  <c r="V64" i="7"/>
  <c r="V20" i="7"/>
  <c r="V60" i="7"/>
  <c r="V103" i="7"/>
  <c r="V63" i="7"/>
  <c r="V17" i="7"/>
  <c r="V38" i="7"/>
  <c r="W2" i="7"/>
  <c r="W60" i="7" s="1"/>
  <c r="V97" i="7"/>
  <c r="V57" i="7"/>
  <c r="V71" i="7"/>
  <c r="V28" i="7"/>
  <c r="V19" i="7"/>
  <c r="V16" i="7"/>
  <c r="V96" i="7"/>
  <c r="V74" i="7"/>
  <c r="V73" i="7"/>
  <c r="V27" i="7"/>
  <c r="V37" i="7"/>
  <c r="V49" i="7"/>
  <c r="V58" i="7"/>
  <c r="V110" i="7"/>
  <c r="V34" i="7"/>
  <c r="V50" i="7"/>
  <c r="V62" i="7"/>
  <c r="U29" i="7"/>
  <c r="U41" i="7"/>
  <c r="U39" i="7"/>
  <c r="U53" i="7"/>
  <c r="U51" i="7"/>
  <c r="U66" i="7"/>
  <c r="AH17" i="7"/>
  <c r="AH128" i="7" s="1"/>
  <c r="AH107" i="7"/>
  <c r="AI3" i="7"/>
  <c r="AI247" i="7" s="1"/>
  <c r="AH106" i="7"/>
  <c r="AH16" i="7"/>
  <c r="AH127" i="7" s="1"/>
  <c r="AH20" i="7"/>
  <c r="AH129" i="7" s="1"/>
  <c r="AH19" i="7"/>
  <c r="AI230" i="7"/>
  <c r="AJ231" i="7"/>
  <c r="AG211" i="7" l="1"/>
  <c r="AI66" i="7"/>
  <c r="AH214" i="7"/>
  <c r="AH215" i="7" s="1"/>
  <c r="AI212" i="7"/>
  <c r="AI213" i="7"/>
  <c r="AH198" i="7"/>
  <c r="AI73" i="7"/>
  <c r="AI81" i="7" s="1"/>
  <c r="AI168" i="7" s="1"/>
  <c r="AI75" i="7"/>
  <c r="AI145" i="7"/>
  <c r="AI200" i="7" s="1"/>
  <c r="AI144" i="7"/>
  <c r="AI199" i="7" s="1"/>
  <c r="AI72" i="7"/>
  <c r="AI80" i="7" s="1"/>
  <c r="AI71" i="7"/>
  <c r="AI79" i="7" s="1"/>
  <c r="AI146" i="7"/>
  <c r="AI201" i="7" s="1"/>
  <c r="AI76" i="7"/>
  <c r="AI84" i="7" s="1"/>
  <c r="AI171" i="7" s="1"/>
  <c r="AH83" i="7"/>
  <c r="AH170" i="7" s="1"/>
  <c r="AI82" i="7"/>
  <c r="W62" i="7"/>
  <c r="V35" i="7"/>
  <c r="V66" i="7"/>
  <c r="W96" i="7"/>
  <c r="V107" i="7"/>
  <c r="V39" i="7"/>
  <c r="V106" i="7"/>
  <c r="X2" i="7"/>
  <c r="X109" i="7" s="1"/>
  <c r="W50" i="7"/>
  <c r="W38" i="7"/>
  <c r="W103" i="7"/>
  <c r="W104" i="7"/>
  <c r="W101" i="7"/>
  <c r="W20" i="7"/>
  <c r="W27" i="7"/>
  <c r="W24" i="7" s="1"/>
  <c r="W19" i="7"/>
  <c r="W58" i="7"/>
  <c r="W17" i="7"/>
  <c r="W49" i="7"/>
  <c r="W16" i="7"/>
  <c r="V29" i="7"/>
  <c r="W45" i="7"/>
  <c r="W57" i="7"/>
  <c r="W75" i="7"/>
  <c r="W63" i="7"/>
  <c r="W102" i="7"/>
  <c r="W33" i="7"/>
  <c r="W64" i="7"/>
  <c r="W110" i="7"/>
  <c r="V41" i="7"/>
  <c r="V99" i="7"/>
  <c r="V112" i="7"/>
  <c r="V53" i="7"/>
  <c r="V47" i="7"/>
  <c r="V51" i="7"/>
  <c r="V24" i="7"/>
  <c r="W46" i="7"/>
  <c r="W71" i="7"/>
  <c r="W72" i="7"/>
  <c r="W109" i="7"/>
  <c r="W34" i="7"/>
  <c r="W37" i="7"/>
  <c r="W28" i="7"/>
  <c r="W74" i="7"/>
  <c r="W59" i="7"/>
  <c r="W76" i="7"/>
  <c r="W73" i="7"/>
  <c r="W97" i="7"/>
  <c r="AI107" i="7"/>
  <c r="AI16" i="7"/>
  <c r="AI127" i="7" s="1"/>
  <c r="AI106" i="7"/>
  <c r="AI20" i="7"/>
  <c r="AI129" i="7" s="1"/>
  <c r="AI19" i="7"/>
  <c r="AI17" i="7"/>
  <c r="AI128" i="7" s="1"/>
  <c r="AJ3" i="7"/>
  <c r="AJ247" i="7" s="1"/>
  <c r="AJ230" i="7"/>
  <c r="AK231" i="7"/>
  <c r="AJ66" i="7" l="1"/>
  <c r="AI214" i="7"/>
  <c r="AI215" i="7" s="1"/>
  <c r="AJ212" i="7"/>
  <c r="AJ213" i="7"/>
  <c r="AH211" i="7"/>
  <c r="AI198" i="7"/>
  <c r="AJ145" i="7"/>
  <c r="AJ200" i="7" s="1"/>
  <c r="AJ146" i="7"/>
  <c r="AJ201" i="7" s="1"/>
  <c r="AJ72" i="7"/>
  <c r="AJ80" i="7" s="1"/>
  <c r="AJ144" i="7"/>
  <c r="AJ199" i="7" s="1"/>
  <c r="AJ73" i="7"/>
  <c r="AJ81" i="7" s="1"/>
  <c r="AJ168" i="7" s="1"/>
  <c r="AJ71" i="7"/>
  <c r="AJ79" i="7" s="1"/>
  <c r="AJ75" i="7"/>
  <c r="AJ76" i="7"/>
  <c r="AJ84" i="7" s="1"/>
  <c r="AJ171" i="7" s="1"/>
  <c r="AI83" i="7"/>
  <c r="AI170" i="7" s="1"/>
  <c r="AJ82" i="7"/>
  <c r="W99" i="7"/>
  <c r="W66" i="7"/>
  <c r="W106" i="7"/>
  <c r="Y2" i="7"/>
  <c r="Y58" i="7" s="1"/>
  <c r="X71" i="7"/>
  <c r="W35" i="7"/>
  <c r="X74" i="7"/>
  <c r="X97" i="7"/>
  <c r="X62" i="7"/>
  <c r="X49" i="7"/>
  <c r="X17" i="7"/>
  <c r="X34" i="7"/>
  <c r="X19" i="7"/>
  <c r="X60" i="7"/>
  <c r="W29" i="7"/>
  <c r="X75" i="7"/>
  <c r="X20" i="7"/>
  <c r="X104" i="7"/>
  <c r="X96" i="7"/>
  <c r="X59" i="7"/>
  <c r="X76" i="7"/>
  <c r="X63" i="7"/>
  <c r="X73" i="7"/>
  <c r="X72" i="7"/>
  <c r="X64" i="7"/>
  <c r="X103" i="7"/>
  <c r="W51" i="7"/>
  <c r="X38" i="7"/>
  <c r="X45" i="7"/>
  <c r="X28" i="7"/>
  <c r="X16" i="7"/>
  <c r="X101" i="7"/>
  <c r="X50" i="7"/>
  <c r="X46" i="7"/>
  <c r="X33" i="7"/>
  <c r="X27" i="7"/>
  <c r="X110" i="7"/>
  <c r="X37" i="7"/>
  <c r="X102" i="7"/>
  <c r="X57" i="7"/>
  <c r="X58" i="7"/>
  <c r="W107" i="7"/>
  <c r="W41" i="7"/>
  <c r="W112" i="7"/>
  <c r="W47" i="7"/>
  <c r="W53" i="7"/>
  <c r="W39" i="7"/>
  <c r="AJ106" i="7"/>
  <c r="AJ19" i="7"/>
  <c r="AJ107" i="7"/>
  <c r="AJ16" i="7"/>
  <c r="AJ127" i="7" s="1"/>
  <c r="AJ20" i="7"/>
  <c r="AJ129" i="7" s="1"/>
  <c r="AJ17" i="7"/>
  <c r="AJ128" i="7" s="1"/>
  <c r="AK3" i="7"/>
  <c r="AK247" i="7" s="1"/>
  <c r="AK230" i="7"/>
  <c r="AL231" i="7"/>
  <c r="AK66" i="7" l="1"/>
  <c r="AJ214" i="7"/>
  <c r="AJ215" i="7" s="1"/>
  <c r="AK212" i="7"/>
  <c r="AK213" i="7"/>
  <c r="AI211" i="7"/>
  <c r="AJ198" i="7"/>
  <c r="AK144" i="7"/>
  <c r="AK199" i="7" s="1"/>
  <c r="AK75" i="7"/>
  <c r="AK72" i="7"/>
  <c r="AK80" i="7" s="1"/>
  <c r="AK146" i="7"/>
  <c r="AK201" i="7" s="1"/>
  <c r="AK73" i="7"/>
  <c r="AK81" i="7" s="1"/>
  <c r="AK168" i="7" s="1"/>
  <c r="AK71" i="7"/>
  <c r="AK79" i="7" s="1"/>
  <c r="AK145" i="7"/>
  <c r="AK200" i="7" s="1"/>
  <c r="AK76" i="7"/>
  <c r="AK84" i="7" s="1"/>
  <c r="AK171" i="7" s="1"/>
  <c r="AJ83" i="7"/>
  <c r="AJ170" i="7" s="1"/>
  <c r="AK82" i="7"/>
  <c r="Z2" i="7"/>
  <c r="Z102" i="7" s="1"/>
  <c r="Y49" i="7"/>
  <c r="Y57" i="7"/>
  <c r="Y72" i="7"/>
  <c r="Y62" i="7"/>
  <c r="Y102" i="7"/>
  <c r="Y75" i="7"/>
  <c r="Y64" i="7"/>
  <c r="X35" i="7"/>
  <c r="Y50" i="7"/>
  <c r="Y97" i="7"/>
  <c r="Y38" i="7"/>
  <c r="Y104" i="7"/>
  <c r="Y17" i="7"/>
  <c r="X66" i="7"/>
  <c r="X99" i="7"/>
  <c r="Y71" i="7"/>
  <c r="Y46" i="7"/>
  <c r="Y45" i="7"/>
  <c r="Y63" i="7"/>
  <c r="Y103" i="7"/>
  <c r="Y74" i="7"/>
  <c r="Y73" i="7"/>
  <c r="Y76" i="7"/>
  <c r="Y19" i="7"/>
  <c r="Y101" i="7"/>
  <c r="Y96" i="7"/>
  <c r="Y20" i="7"/>
  <c r="Y16" i="7"/>
  <c r="Y110" i="7"/>
  <c r="Y59" i="7"/>
  <c r="Y34" i="7"/>
  <c r="Y28" i="7"/>
  <c r="Y27" i="7"/>
  <c r="Y24" i="7" s="1"/>
  <c r="Y109" i="7"/>
  <c r="Y60" i="7"/>
  <c r="Y37" i="7"/>
  <c r="Y33" i="7"/>
  <c r="X51" i="7"/>
  <c r="X112" i="7"/>
  <c r="X41" i="7"/>
  <c r="X107" i="7"/>
  <c r="X47" i="7"/>
  <c r="X106" i="7"/>
  <c r="X39" i="7"/>
  <c r="X53" i="7"/>
  <c r="X29" i="7"/>
  <c r="X24" i="7"/>
  <c r="AK17" i="7"/>
  <c r="AK128" i="7" s="1"/>
  <c r="AL3" i="7"/>
  <c r="AL247" i="7" s="1"/>
  <c r="AK20" i="7"/>
  <c r="AK129" i="7" s="1"/>
  <c r="AK19" i="7"/>
  <c r="AK106" i="7"/>
  <c r="AK16" i="7"/>
  <c r="AK127" i="7" s="1"/>
  <c r="AK107" i="7"/>
  <c r="AM231" i="7"/>
  <c r="AN231" i="7" s="1"/>
  <c r="AN230" i="7" s="1"/>
  <c r="AL230" i="7"/>
  <c r="AJ211" i="7" l="1"/>
  <c r="AL66" i="7"/>
  <c r="AK214" i="7"/>
  <c r="AK215" i="7" s="1"/>
  <c r="AL212" i="7"/>
  <c r="AL213" i="7"/>
  <c r="AK198" i="7"/>
  <c r="AL145" i="7"/>
  <c r="AL200" i="7" s="1"/>
  <c r="AL75" i="7"/>
  <c r="AL71" i="7"/>
  <c r="AL79" i="7" s="1"/>
  <c r="AL73" i="7"/>
  <c r="AL81" i="7" s="1"/>
  <c r="AL168" i="7" s="1"/>
  <c r="AL144" i="7"/>
  <c r="AL199" i="7" s="1"/>
  <c r="AL146" i="7"/>
  <c r="AL201" i="7" s="1"/>
  <c r="AL72" i="7"/>
  <c r="AL80" i="7" s="1"/>
  <c r="AL76" i="7"/>
  <c r="AL84" i="7" s="1"/>
  <c r="AL171" i="7" s="1"/>
  <c r="AK83" i="7"/>
  <c r="AK170" i="7" s="1"/>
  <c r="AL82" i="7"/>
  <c r="Z37" i="7"/>
  <c r="Z103" i="7"/>
  <c r="AB2" i="7"/>
  <c r="AC2" i="7" s="1"/>
  <c r="AD2" i="7" s="1"/>
  <c r="AE2" i="7" s="1"/>
  <c r="AF2" i="7" s="1"/>
  <c r="AG2" i="7" s="1"/>
  <c r="AH2" i="7" s="1"/>
  <c r="AI2" i="7" s="1"/>
  <c r="AJ2" i="7" s="1"/>
  <c r="AK2" i="7" s="1"/>
  <c r="AL2" i="7" s="1"/>
  <c r="AM2" i="7" s="1"/>
  <c r="Z19" i="7"/>
  <c r="K19" i="7" s="1"/>
  <c r="AB19" i="7" s="1"/>
  <c r="AC19" i="7" s="1"/>
  <c r="AD19" i="7" s="1"/>
  <c r="AE19" i="7" s="1"/>
  <c r="AF19" i="7" s="1"/>
  <c r="Z27" i="7"/>
  <c r="Z101" i="7"/>
  <c r="Z104" i="7"/>
  <c r="Y41" i="7"/>
  <c r="Y51" i="7"/>
  <c r="Z75" i="7"/>
  <c r="Z58" i="7"/>
  <c r="K58" i="7" s="1"/>
  <c r="AB58" i="7" s="1"/>
  <c r="Z28" i="7"/>
  <c r="Z46" i="7"/>
  <c r="Z64" i="7"/>
  <c r="Z20" i="7"/>
  <c r="K20" i="7" s="1"/>
  <c r="AB20" i="7" s="1"/>
  <c r="Z50" i="7"/>
  <c r="Z74" i="7"/>
  <c r="Z34" i="7"/>
  <c r="Z96" i="7"/>
  <c r="Z16" i="7"/>
  <c r="K16" i="7" s="1"/>
  <c r="AB16" i="7" s="1"/>
  <c r="Z49" i="7"/>
  <c r="Z17" i="7"/>
  <c r="K17" i="7" s="1"/>
  <c r="AB17" i="7" s="1"/>
  <c r="Z72" i="7"/>
  <c r="Z110" i="7"/>
  <c r="Z60" i="7"/>
  <c r="K60" i="7" s="1"/>
  <c r="AB60" i="7" s="1"/>
  <c r="Z73" i="7"/>
  <c r="Z38" i="7"/>
  <c r="Z33" i="7"/>
  <c r="Z109" i="7"/>
  <c r="K109" i="7" s="1"/>
  <c r="Z62" i="7"/>
  <c r="Z59" i="7"/>
  <c r="K59" i="7" s="1"/>
  <c r="AB59" i="7" s="1"/>
  <c r="Z45" i="7"/>
  <c r="Z57" i="7"/>
  <c r="K57" i="7" s="1"/>
  <c r="L57" i="7" s="1"/>
  <c r="Z76" i="7"/>
  <c r="Z71" i="7"/>
  <c r="Z97" i="7"/>
  <c r="Z63" i="7"/>
  <c r="Y66" i="7"/>
  <c r="Y112" i="7"/>
  <c r="Y99" i="7"/>
  <c r="Y39" i="7"/>
  <c r="Y107" i="7"/>
  <c r="Y47" i="7"/>
  <c r="Y106" i="7"/>
  <c r="Y35" i="7"/>
  <c r="Y53" i="7"/>
  <c r="Y29" i="7"/>
  <c r="AL17" i="7"/>
  <c r="AL128" i="7" s="1"/>
  <c r="AL106" i="7"/>
  <c r="AM3" i="7"/>
  <c r="AL107" i="7"/>
  <c r="AL20" i="7"/>
  <c r="AL129" i="7" s="1"/>
  <c r="AL16" i="7"/>
  <c r="AL127" i="7" s="1"/>
  <c r="AL19" i="7"/>
  <c r="AM230" i="7"/>
  <c r="AN2" i="7" l="1"/>
  <c r="AO2" i="7" s="1"/>
  <c r="AP2" i="7" s="1"/>
  <c r="AQ2" i="7" s="1"/>
  <c r="AR2" i="7" s="1"/>
  <c r="AS2" i="7" s="1"/>
  <c r="AT2" i="7" s="1"/>
  <c r="AU2" i="7" s="1"/>
  <c r="AV2" i="7" s="1"/>
  <c r="AW2" i="7" s="1"/>
  <c r="AX2" i="7" s="1"/>
  <c r="AY2" i="7" s="1"/>
  <c r="AZ2" i="7" s="1"/>
  <c r="BA2" i="7" s="1"/>
  <c r="BB2" i="7" s="1"/>
  <c r="BC2" i="7" s="1"/>
  <c r="BD2" i="7" s="1"/>
  <c r="BE2" i="7" s="1"/>
  <c r="AN3" i="7"/>
  <c r="AM247" i="7"/>
  <c r="Z24" i="7"/>
  <c r="K24" i="7" s="1"/>
  <c r="AB24" i="7" s="1"/>
  <c r="AB25" i="7" s="1"/>
  <c r="AB27" i="7"/>
  <c r="AB33" i="7" s="1"/>
  <c r="AM66" i="7"/>
  <c r="AL214" i="7"/>
  <c r="AL215" i="7" s="1"/>
  <c r="AM212" i="7"/>
  <c r="AM213" i="7"/>
  <c r="AK211" i="7"/>
  <c r="AL198" i="7"/>
  <c r="K110" i="7"/>
  <c r="AB110" i="7" s="1"/>
  <c r="L109" i="7"/>
  <c r="AM109" i="7" s="1"/>
  <c r="AB109" i="7"/>
  <c r="AM144" i="7"/>
  <c r="AM71" i="7"/>
  <c r="AM79" i="7" s="1"/>
  <c r="AM145" i="7"/>
  <c r="AM146" i="7"/>
  <c r="AM201" i="7" s="1"/>
  <c r="AM72" i="7"/>
  <c r="AM80" i="7" s="1"/>
  <c r="AM73" i="7"/>
  <c r="AM81" i="7" s="1"/>
  <c r="AM168" i="7" s="1"/>
  <c r="AM75" i="7"/>
  <c r="AM76" i="7"/>
  <c r="AM84" i="7" s="1"/>
  <c r="AM171" i="7" s="1"/>
  <c r="AC20" i="7"/>
  <c r="AB129" i="7"/>
  <c r="AC17" i="7"/>
  <c r="AB128" i="7"/>
  <c r="AC16" i="7"/>
  <c r="AB127" i="7"/>
  <c r="AL83" i="7"/>
  <c r="AL170" i="7" s="1"/>
  <c r="AM82" i="7"/>
  <c r="Z29" i="7"/>
  <c r="Z107" i="7"/>
  <c r="Z51" i="7"/>
  <c r="Z106" i="7"/>
  <c r="Z66" i="7"/>
  <c r="Z47" i="7"/>
  <c r="Z35" i="7"/>
  <c r="Z53" i="7"/>
  <c r="K53" i="7" s="1"/>
  <c r="L53" i="7" s="1"/>
  <c r="Z112" i="7"/>
  <c r="Z99" i="7"/>
  <c r="AB99" i="7" s="1"/>
  <c r="Z39" i="7"/>
  <c r="L60" i="7"/>
  <c r="AC60" i="7" s="1"/>
  <c r="AD60" i="7" s="1"/>
  <c r="AE60" i="7" s="1"/>
  <c r="AF60" i="7" s="1"/>
  <c r="AG60" i="7" s="1"/>
  <c r="AH60" i="7" s="1"/>
  <c r="AI60" i="7" s="1"/>
  <c r="AJ60" i="7" s="1"/>
  <c r="AK60" i="7" s="1"/>
  <c r="AL60" i="7" s="1"/>
  <c r="AM60" i="7" s="1"/>
  <c r="Z41" i="7"/>
  <c r="K41" i="7" s="1"/>
  <c r="L41" i="7" s="1"/>
  <c r="AM107" i="7"/>
  <c r="AM20" i="7"/>
  <c r="AM129" i="7" s="1"/>
  <c r="AM17" i="7"/>
  <c r="AM128" i="7" s="1"/>
  <c r="AM106" i="7"/>
  <c r="AM19" i="7"/>
  <c r="AM16" i="7"/>
  <c r="AM127" i="7" s="1"/>
  <c r="AG57" i="7"/>
  <c r="AH57" i="7"/>
  <c r="AI57" i="7"/>
  <c r="AJ57" i="7"/>
  <c r="AK57" i="7"/>
  <c r="AL57" i="7"/>
  <c r="AM57" i="7"/>
  <c r="AB57" i="7"/>
  <c r="AO231" i="7"/>
  <c r="AC24" i="7" l="1"/>
  <c r="AD24" i="7" s="1"/>
  <c r="AE24" i="7" s="1"/>
  <c r="AF24" i="7" s="1"/>
  <c r="AG24" i="7" s="1"/>
  <c r="AH24" i="7" s="1"/>
  <c r="AI24" i="7" s="1"/>
  <c r="AJ24" i="7" s="1"/>
  <c r="AK24" i="7" s="1"/>
  <c r="AL24" i="7" s="1"/>
  <c r="AM24" i="7" s="1"/>
  <c r="AM199" i="7"/>
  <c r="AN145" i="7"/>
  <c r="AN200" i="7" s="1"/>
  <c r="AN106" i="7"/>
  <c r="AN213" i="7"/>
  <c r="AN16" i="7"/>
  <c r="AN127" i="7" s="1"/>
  <c r="AN99" i="7"/>
  <c r="AN146" i="7"/>
  <c r="AN201" i="7" s="1"/>
  <c r="AN212" i="7"/>
  <c r="AN75" i="7"/>
  <c r="AN83" i="7" s="1"/>
  <c r="AN19" i="7"/>
  <c r="AN73" i="7"/>
  <c r="AN81" i="7" s="1"/>
  <c r="AN17" i="7"/>
  <c r="AN128" i="7" s="1"/>
  <c r="AN60" i="7"/>
  <c r="AN247" i="7"/>
  <c r="AN20" i="7"/>
  <c r="AN129" i="7" s="1"/>
  <c r="AN72" i="7"/>
  <c r="AN80" i="7" s="1"/>
  <c r="AN109" i="7"/>
  <c r="AN144" i="7"/>
  <c r="AN199" i="7" s="1"/>
  <c r="AN198" i="7" s="1"/>
  <c r="AN57" i="7"/>
  <c r="AN71" i="7"/>
  <c r="AN107" i="7"/>
  <c r="AN24" i="7"/>
  <c r="AN66" i="7"/>
  <c r="AN76" i="7"/>
  <c r="AN84" i="7" s="1"/>
  <c r="AM200" i="7"/>
  <c r="AM214" i="7"/>
  <c r="AM215" i="7" s="1"/>
  <c r="AL211" i="7"/>
  <c r="AC109" i="7"/>
  <c r="AD109" i="7" s="1"/>
  <c r="AE109" i="7" s="1"/>
  <c r="AF109" i="7" s="1"/>
  <c r="AG109" i="7" s="1"/>
  <c r="AH109" i="7" s="1"/>
  <c r="AI109" i="7" s="1"/>
  <c r="AJ109" i="7" s="1"/>
  <c r="AK109" i="7" s="1"/>
  <c r="AM198" i="7"/>
  <c r="L110" i="7"/>
  <c r="AC110" i="7" s="1"/>
  <c r="AD110" i="7" s="1"/>
  <c r="AE110" i="7" s="1"/>
  <c r="AF110" i="7" s="1"/>
  <c r="AG110" i="7" s="1"/>
  <c r="AH110" i="7" s="1"/>
  <c r="AI110" i="7" s="1"/>
  <c r="AJ110" i="7" s="1"/>
  <c r="AK110" i="7" s="1"/>
  <c r="AL109" i="7"/>
  <c r="AD17" i="7"/>
  <c r="AC128" i="7"/>
  <c r="AD16" i="7"/>
  <c r="AC127" i="7"/>
  <c r="AD20" i="7"/>
  <c r="AC129" i="7"/>
  <c r="AM83" i="7"/>
  <c r="AM170" i="7" s="1"/>
  <c r="AB53" i="7"/>
  <c r="AB41" i="7"/>
  <c r="L59" i="7" s="1"/>
  <c r="AN59" i="7" s="1"/>
  <c r="L112" i="7"/>
  <c r="AA10" i="7"/>
  <c r="K112" i="7"/>
  <c r="AB112" i="7" s="1"/>
  <c r="AO3" i="7"/>
  <c r="AO247" i="7" s="1"/>
  <c r="AC57" i="7"/>
  <c r="AC25" i="7"/>
  <c r="AC27" i="7" s="1"/>
  <c r="AB123" i="7"/>
  <c r="AP231" i="7"/>
  <c r="AO230" i="7"/>
  <c r="AN168" i="7" l="1"/>
  <c r="AN171" i="7"/>
  <c r="AN197" i="7"/>
  <c r="AN226" i="7"/>
  <c r="AN170" i="7"/>
  <c r="AN110" i="7"/>
  <c r="AN214" i="7"/>
  <c r="AN215" i="7" s="1"/>
  <c r="AN79" i="7"/>
  <c r="AN167" i="7"/>
  <c r="AO66" i="7"/>
  <c r="AM59" i="7"/>
  <c r="L58" i="7"/>
  <c r="AN58" i="7" s="1"/>
  <c r="AO212" i="7"/>
  <c r="AO213" i="7"/>
  <c r="AM211" i="7"/>
  <c r="AO145" i="7"/>
  <c r="AO200" i="7" s="1"/>
  <c r="AO71" i="7"/>
  <c r="AO79" i="7" s="1"/>
  <c r="AO144" i="7"/>
  <c r="AO199" i="7" s="1"/>
  <c r="AO146" i="7"/>
  <c r="AO201" i="7" s="1"/>
  <c r="AO72" i="7"/>
  <c r="AO80" i="7" s="1"/>
  <c r="AO75" i="7"/>
  <c r="AO73" i="7"/>
  <c r="AO81" i="7" s="1"/>
  <c r="AO168" i="7" s="1"/>
  <c r="AO76" i="7"/>
  <c r="AO84" i="7" s="1"/>
  <c r="AO171" i="7" s="1"/>
  <c r="AL110" i="7"/>
  <c r="AM110" i="7"/>
  <c r="AE16" i="7"/>
  <c r="AD127" i="7"/>
  <c r="AE20" i="7"/>
  <c r="AD129" i="7"/>
  <c r="AE17" i="7"/>
  <c r="AD128" i="7"/>
  <c r="AO82" i="7"/>
  <c r="AC53" i="7"/>
  <c r="AD53" i="7" s="1"/>
  <c r="AE53" i="7" s="1"/>
  <c r="AF53" i="7" s="1"/>
  <c r="AG53" i="7" s="1"/>
  <c r="AH53" i="7" s="1"/>
  <c r="AI53" i="7" s="1"/>
  <c r="AJ53" i="7" s="1"/>
  <c r="AK53" i="7" s="1"/>
  <c r="AL53" i="7" s="1"/>
  <c r="AM53" i="7" s="1"/>
  <c r="AC41" i="7"/>
  <c r="AD41" i="7" s="1"/>
  <c r="AE41" i="7" s="1"/>
  <c r="AF41" i="7" s="1"/>
  <c r="AG41" i="7" s="1"/>
  <c r="AH41" i="7" s="1"/>
  <c r="AI41" i="7" s="1"/>
  <c r="AJ41" i="7" s="1"/>
  <c r="AK41" i="7" s="1"/>
  <c r="AL41" i="7" s="1"/>
  <c r="AM41" i="7" s="1"/>
  <c r="Z10" i="7"/>
  <c r="Z83" i="7" s="1"/>
  <c r="Z91" i="7" s="1"/>
  <c r="AL59" i="7"/>
  <c r="AC112" i="7"/>
  <c r="AD112" i="7" s="1"/>
  <c r="AE112" i="7" s="1"/>
  <c r="AF112" i="7" s="1"/>
  <c r="AG112" i="7" s="1"/>
  <c r="AH112" i="7" s="1"/>
  <c r="AI112" i="7" s="1"/>
  <c r="AJ112" i="7" s="1"/>
  <c r="AK112" i="7" s="1"/>
  <c r="AL112" i="7" s="1"/>
  <c r="AM112" i="7" s="1"/>
  <c r="AC59" i="7"/>
  <c r="AD59" i="7" s="1"/>
  <c r="AE59" i="7" s="1"/>
  <c r="AF59" i="7" s="1"/>
  <c r="AG59" i="7" s="1"/>
  <c r="AH59" i="7" s="1"/>
  <c r="AI59" i="7" s="1"/>
  <c r="AJ59" i="7" s="1"/>
  <c r="AK59" i="7" s="1"/>
  <c r="AC99" i="7"/>
  <c r="AD99" i="7" s="1"/>
  <c r="AE99" i="7" s="1"/>
  <c r="AF99" i="7" s="1"/>
  <c r="AG99" i="7" s="1"/>
  <c r="AH99" i="7" s="1"/>
  <c r="AI99" i="7" s="1"/>
  <c r="AJ99" i="7" s="1"/>
  <c r="AK99" i="7" s="1"/>
  <c r="AL99" i="7" s="1"/>
  <c r="AM99" i="7" s="1"/>
  <c r="AO99" i="7" s="1"/>
  <c r="AO16" i="7"/>
  <c r="AO127" i="7" s="1"/>
  <c r="AO110" i="7"/>
  <c r="AO106" i="7"/>
  <c r="AP3" i="7"/>
  <c r="AP247" i="7" s="1"/>
  <c r="AO57" i="7"/>
  <c r="AO107" i="7"/>
  <c r="AO109" i="7"/>
  <c r="AO20" i="7"/>
  <c r="AO129" i="7" s="1"/>
  <c r="AO60" i="7"/>
  <c r="AO19" i="7"/>
  <c r="AO59" i="7"/>
  <c r="AO17" i="7"/>
  <c r="AO128" i="7" s="1"/>
  <c r="AO24" i="7"/>
  <c r="AD25" i="7"/>
  <c r="AD27" i="7" s="1"/>
  <c r="AC123" i="7"/>
  <c r="AD57" i="7"/>
  <c r="AQ231" i="7"/>
  <c r="AP230" i="7"/>
  <c r="AB45" i="7"/>
  <c r="AB49" i="7" s="1"/>
  <c r="AB126" i="7" s="1"/>
  <c r="AN211" i="7" l="1"/>
  <c r="AC58" i="7"/>
  <c r="AD58" i="7" s="1"/>
  <c r="AE58" i="7" s="1"/>
  <c r="AF58" i="7" s="1"/>
  <c r="AG58" i="7" s="1"/>
  <c r="AH58" i="7" s="1"/>
  <c r="AI58" i="7" s="1"/>
  <c r="AJ58" i="7" s="1"/>
  <c r="AK58" i="7" s="1"/>
  <c r="AN41" i="7"/>
  <c r="AO41" i="7" s="1"/>
  <c r="AP41" i="7" s="1"/>
  <c r="AN166" i="7"/>
  <c r="AN165" i="7" s="1"/>
  <c r="AN164" i="7" s="1"/>
  <c r="AN78" i="7"/>
  <c r="AN112" i="7"/>
  <c r="AO112" i="7" s="1"/>
  <c r="AP112" i="7" s="1"/>
  <c r="AO53" i="7"/>
  <c r="AP53" i="7" s="1"/>
  <c r="AN53" i="7"/>
  <c r="AP66" i="7"/>
  <c r="AO214" i="7"/>
  <c r="AO215" i="7" s="1"/>
  <c r="AP212" i="7"/>
  <c r="AP213" i="7"/>
  <c r="AO198" i="7"/>
  <c r="AB124" i="7"/>
  <c r="AB37" i="7"/>
  <c r="AP146" i="7"/>
  <c r="AP201" i="7" s="1"/>
  <c r="AP73" i="7"/>
  <c r="AP81" i="7" s="1"/>
  <c r="AP168" i="7" s="1"/>
  <c r="AP144" i="7"/>
  <c r="AP199" i="7" s="1"/>
  <c r="AP145" i="7"/>
  <c r="AP200" i="7" s="1"/>
  <c r="AP75" i="7"/>
  <c r="AP71" i="7"/>
  <c r="AP79" i="7" s="1"/>
  <c r="AP72" i="7"/>
  <c r="AP80" i="7" s="1"/>
  <c r="AP76" i="7"/>
  <c r="AP84" i="7" s="1"/>
  <c r="AP171" i="7" s="1"/>
  <c r="AF17" i="7"/>
  <c r="AF128" i="7" s="1"/>
  <c r="AE128" i="7"/>
  <c r="AF20" i="7"/>
  <c r="AF129" i="7" s="1"/>
  <c r="AE129" i="7"/>
  <c r="AF16" i="7"/>
  <c r="AF127" i="7" s="1"/>
  <c r="AE127" i="7"/>
  <c r="AO83" i="7"/>
  <c r="AO170" i="7" s="1"/>
  <c r="AP82" i="7"/>
  <c r="Z80" i="7"/>
  <c r="Z88" i="7" s="1"/>
  <c r="Z81" i="7"/>
  <c r="Z89" i="7" s="1"/>
  <c r="Z79" i="7"/>
  <c r="Z87" i="7" s="1"/>
  <c r="Z84" i="7"/>
  <c r="Z92" i="7" s="1"/>
  <c r="Y10" i="7"/>
  <c r="Z82" i="7"/>
  <c r="Z90" i="7" s="1"/>
  <c r="AL58" i="7"/>
  <c r="AM58" i="7"/>
  <c r="AO58" i="7"/>
  <c r="AP99" i="7"/>
  <c r="AP17" i="7"/>
  <c r="AP128" i="7" s="1"/>
  <c r="AP58" i="7"/>
  <c r="AP109" i="7"/>
  <c r="AP16" i="7"/>
  <c r="AP127" i="7" s="1"/>
  <c r="AQ3" i="7"/>
  <c r="AP106" i="7"/>
  <c r="AP24" i="7"/>
  <c r="AP20" i="7"/>
  <c r="AP129" i="7" s="1"/>
  <c r="AP110" i="7"/>
  <c r="AP59" i="7"/>
  <c r="AP107" i="7"/>
  <c r="AP19" i="7"/>
  <c r="AP57" i="7"/>
  <c r="AP60" i="7"/>
  <c r="AQ230" i="7"/>
  <c r="AR231" i="7"/>
  <c r="AC45" i="7"/>
  <c r="AC49" i="7" s="1"/>
  <c r="AC126" i="7" s="1"/>
  <c r="AC33" i="7"/>
  <c r="AC124" i="7" s="1"/>
  <c r="AB62" i="7"/>
  <c r="AE57" i="7"/>
  <c r="AE25" i="7"/>
  <c r="AE27" i="7" s="1"/>
  <c r="AD123" i="7"/>
  <c r="AQ66" i="7" l="1"/>
  <c r="AQ247" i="7"/>
  <c r="AP214" i="7"/>
  <c r="AP215" i="7" s="1"/>
  <c r="AQ212" i="7"/>
  <c r="AQ213" i="7"/>
  <c r="AO211" i="7"/>
  <c r="AP198" i="7"/>
  <c r="AQ73" i="7"/>
  <c r="AQ81" i="7" s="1"/>
  <c r="AQ168" i="7" s="1"/>
  <c r="AQ75" i="7"/>
  <c r="AQ145" i="7"/>
  <c r="AQ200" i="7" s="1"/>
  <c r="AQ146" i="7"/>
  <c r="AQ201" i="7" s="1"/>
  <c r="AQ71" i="7"/>
  <c r="AQ79" i="7" s="1"/>
  <c r="AQ144" i="7"/>
  <c r="AQ199" i="7" s="1"/>
  <c r="AQ72" i="7"/>
  <c r="AQ80" i="7" s="1"/>
  <c r="AQ76" i="7"/>
  <c r="AQ84" i="7" s="1"/>
  <c r="AQ171" i="7" s="1"/>
  <c r="AC150" i="7"/>
  <c r="AC149" i="7"/>
  <c r="AB125" i="7"/>
  <c r="AB135" i="7"/>
  <c r="AP83" i="7"/>
  <c r="AP170" i="7" s="1"/>
  <c r="AB91" i="7"/>
  <c r="AB141" i="7" s="1"/>
  <c r="AB92" i="7"/>
  <c r="AB142" i="7" s="1"/>
  <c r="AB90" i="7"/>
  <c r="AB140" i="7" s="1"/>
  <c r="AB87" i="7"/>
  <c r="AB137" i="7" s="1"/>
  <c r="AQ82" i="7"/>
  <c r="Y79" i="7"/>
  <c r="Y87" i="7" s="1"/>
  <c r="Y81" i="7"/>
  <c r="Y89" i="7" s="1"/>
  <c r="X10" i="7"/>
  <c r="X79" i="7" s="1"/>
  <c r="X87" i="7" s="1"/>
  <c r="Z78" i="7"/>
  <c r="Y83" i="7"/>
  <c r="Y91" i="7" s="1"/>
  <c r="Y82" i="7"/>
  <c r="Y90" i="7" s="1"/>
  <c r="Y84" i="7"/>
  <c r="Y92" i="7" s="1"/>
  <c r="Y80" i="7"/>
  <c r="Y88" i="7" s="1"/>
  <c r="AQ106" i="7"/>
  <c r="AQ112" i="7"/>
  <c r="AQ59" i="7"/>
  <c r="AQ57" i="7"/>
  <c r="AQ53" i="7"/>
  <c r="AQ109" i="7"/>
  <c r="AQ41" i="7"/>
  <c r="AQ24" i="7"/>
  <c r="AQ20" i="7"/>
  <c r="AQ129" i="7" s="1"/>
  <c r="AQ19" i="7"/>
  <c r="AQ99" i="7"/>
  <c r="AQ110" i="7"/>
  <c r="AQ17" i="7"/>
  <c r="AQ128" i="7" s="1"/>
  <c r="AQ58" i="7"/>
  <c r="AQ16" i="7"/>
  <c r="AQ127" i="7" s="1"/>
  <c r="AQ107" i="7"/>
  <c r="AR3" i="7"/>
  <c r="AQ60" i="7"/>
  <c r="AF25" i="7"/>
  <c r="AF27" i="7" s="1"/>
  <c r="AE123" i="7"/>
  <c r="AB96" i="7"/>
  <c r="AB64" i="7"/>
  <c r="AB97" i="7" s="1"/>
  <c r="AB63" i="7"/>
  <c r="AC37" i="7"/>
  <c r="AC62" i="7"/>
  <c r="AB169" i="7"/>
  <c r="AF57" i="7"/>
  <c r="AR230" i="7"/>
  <c r="AS231" i="7"/>
  <c r="AD45" i="7"/>
  <c r="AD49" i="7" s="1"/>
  <c r="AD126" i="7" s="1"/>
  <c r="AD33" i="7"/>
  <c r="AD124" i="7" s="1"/>
  <c r="AR66" i="7" l="1"/>
  <c r="AR247" i="7"/>
  <c r="AQ198" i="7"/>
  <c r="AQ214" i="7"/>
  <c r="AQ215" i="7" s="1"/>
  <c r="AR212" i="7"/>
  <c r="AR213" i="7"/>
  <c r="AP211" i="7"/>
  <c r="AR145" i="7"/>
  <c r="AR200" i="7" s="1"/>
  <c r="AR146" i="7"/>
  <c r="AR201" i="7" s="1"/>
  <c r="AR72" i="7"/>
  <c r="AR80" i="7" s="1"/>
  <c r="AR144" i="7"/>
  <c r="AR199" i="7" s="1"/>
  <c r="AR71" i="7"/>
  <c r="AR79" i="7" s="1"/>
  <c r="AR73" i="7"/>
  <c r="AR81" i="7" s="1"/>
  <c r="AR168" i="7" s="1"/>
  <c r="AR75" i="7"/>
  <c r="AR76" i="7"/>
  <c r="AR84" i="7" s="1"/>
  <c r="AR171" i="7" s="1"/>
  <c r="AB136" i="7"/>
  <c r="AB116" i="7"/>
  <c r="AB156" i="7" s="1"/>
  <c r="AB132" i="7"/>
  <c r="AB115" i="7"/>
  <c r="AB155" i="7" s="1"/>
  <c r="AB131" i="7"/>
  <c r="AD149" i="7"/>
  <c r="AD150" i="7"/>
  <c r="AC125" i="7"/>
  <c r="AC135" i="7"/>
  <c r="AQ83" i="7"/>
  <c r="AQ170" i="7" s="1"/>
  <c r="AC87" i="7"/>
  <c r="AC137" i="7" s="1"/>
  <c r="AC91" i="7"/>
  <c r="AC141" i="7" s="1"/>
  <c r="AC92" i="7"/>
  <c r="AC142" i="7" s="1"/>
  <c r="AC90" i="7"/>
  <c r="AC140" i="7" s="1"/>
  <c r="AB88" i="7"/>
  <c r="AB138" i="7" s="1"/>
  <c r="AB89" i="7"/>
  <c r="AB139" i="7" s="1"/>
  <c r="AR82" i="7"/>
  <c r="X81" i="7"/>
  <c r="X89" i="7" s="1"/>
  <c r="X82" i="7"/>
  <c r="X90" i="7" s="1"/>
  <c r="X80" i="7"/>
  <c r="X88" i="7" s="1"/>
  <c r="X83" i="7"/>
  <c r="X91" i="7" s="1"/>
  <c r="X84" i="7"/>
  <c r="X92" i="7" s="1"/>
  <c r="W10" i="7"/>
  <c r="W81" i="7" s="1"/>
  <c r="W89" i="7" s="1"/>
  <c r="Y78" i="7"/>
  <c r="AB166" i="7"/>
  <c r="AR53" i="7"/>
  <c r="AR24" i="7"/>
  <c r="AR60" i="7"/>
  <c r="AR110" i="7"/>
  <c r="AR112" i="7"/>
  <c r="AR19" i="7"/>
  <c r="AR16" i="7"/>
  <c r="AR127" i="7" s="1"/>
  <c r="AR17" i="7"/>
  <c r="AR128" i="7" s="1"/>
  <c r="AR41" i="7"/>
  <c r="AR106" i="7"/>
  <c r="AR107" i="7"/>
  <c r="AR58" i="7"/>
  <c r="AR20" i="7"/>
  <c r="AR129" i="7" s="1"/>
  <c r="AS3" i="7"/>
  <c r="AR99" i="7"/>
  <c r="AR109" i="7"/>
  <c r="AR59" i="7"/>
  <c r="AR57" i="7"/>
  <c r="AD37" i="7"/>
  <c r="AD62" i="7"/>
  <c r="AC96" i="7"/>
  <c r="AC63" i="7"/>
  <c r="AC64" i="7"/>
  <c r="AC97" i="7" s="1"/>
  <c r="AB167" i="7"/>
  <c r="AB168" i="7"/>
  <c r="AE45" i="7"/>
  <c r="AE49" i="7" s="1"/>
  <c r="AE126" i="7" s="1"/>
  <c r="AE33" i="7"/>
  <c r="AE124" i="7" s="1"/>
  <c r="AS230" i="7"/>
  <c r="AT231" i="7"/>
  <c r="AG25" i="7"/>
  <c r="AG27" i="7" s="1"/>
  <c r="AF123" i="7"/>
  <c r="AS66" i="7" l="1"/>
  <c r="AS247" i="7"/>
  <c r="AS212" i="7"/>
  <c r="AS213" i="7"/>
  <c r="AR214" i="7"/>
  <c r="AR215" i="7" s="1"/>
  <c r="AQ211" i="7"/>
  <c r="AR198" i="7"/>
  <c r="AS144" i="7"/>
  <c r="AS199" i="7" s="1"/>
  <c r="AS146" i="7"/>
  <c r="AS201" i="7" s="1"/>
  <c r="AS75" i="7"/>
  <c r="AS72" i="7"/>
  <c r="AS80" i="7" s="1"/>
  <c r="AS73" i="7"/>
  <c r="AS81" i="7" s="1"/>
  <c r="AS168" i="7" s="1"/>
  <c r="AS145" i="7"/>
  <c r="AS200" i="7" s="1"/>
  <c r="AS71" i="7"/>
  <c r="AS79" i="7" s="1"/>
  <c r="AS76" i="7"/>
  <c r="AS84" i="7" s="1"/>
  <c r="AS171" i="7" s="1"/>
  <c r="AB117" i="7"/>
  <c r="AB157" i="7" s="1"/>
  <c r="AB161" i="7" s="1"/>
  <c r="AC115" i="7"/>
  <c r="AC155" i="7" s="1"/>
  <c r="AC131" i="7"/>
  <c r="AB133" i="7"/>
  <c r="AC116" i="7"/>
  <c r="AC156" i="7" s="1"/>
  <c r="AC132" i="7"/>
  <c r="AC147" i="7"/>
  <c r="AC148" i="7"/>
  <c r="AE150" i="7"/>
  <c r="AE149" i="7"/>
  <c r="AC136" i="7"/>
  <c r="AD125" i="7"/>
  <c r="AD135" i="7"/>
  <c r="AR83" i="7"/>
  <c r="AR170" i="7" s="1"/>
  <c r="AC88" i="7"/>
  <c r="AC138" i="7" s="1"/>
  <c r="AC89" i="7"/>
  <c r="AC139" i="7" s="1"/>
  <c r="AS82" i="7"/>
  <c r="AD90" i="7"/>
  <c r="AD140" i="7" s="1"/>
  <c r="AD91" i="7"/>
  <c r="AD141" i="7" s="1"/>
  <c r="AD87" i="7"/>
  <c r="AD137" i="7" s="1"/>
  <c r="AD92" i="7"/>
  <c r="AD142" i="7" s="1"/>
  <c r="W80" i="7"/>
  <c r="W88" i="7" s="1"/>
  <c r="X78" i="7"/>
  <c r="W84" i="7"/>
  <c r="W92" i="7" s="1"/>
  <c r="W82" i="7"/>
  <c r="W90" i="7" s="1"/>
  <c r="W79" i="7"/>
  <c r="W87" i="7" s="1"/>
  <c r="W83" i="7"/>
  <c r="W91" i="7" s="1"/>
  <c r="V10" i="7"/>
  <c r="V83" i="7" s="1"/>
  <c r="V91" i="7" s="1"/>
  <c r="AB78" i="7"/>
  <c r="AB165" i="7"/>
  <c r="AS53" i="7"/>
  <c r="AS16" i="7"/>
  <c r="AS127" i="7" s="1"/>
  <c r="AS107" i="7"/>
  <c r="AS41" i="7"/>
  <c r="AS99" i="7"/>
  <c r="AS20" i="7"/>
  <c r="AS129" i="7" s="1"/>
  <c r="AS112" i="7"/>
  <c r="AS57" i="7"/>
  <c r="AS17" i="7"/>
  <c r="AS128" i="7" s="1"/>
  <c r="AS110" i="7"/>
  <c r="AS60" i="7"/>
  <c r="AS58" i="7"/>
  <c r="AT3" i="7"/>
  <c r="AS109" i="7"/>
  <c r="AS106" i="7"/>
  <c r="AS19" i="7"/>
  <c r="AS24" i="7"/>
  <c r="AS59" i="7"/>
  <c r="AE37" i="7"/>
  <c r="AE62" i="7"/>
  <c r="AF33" i="7"/>
  <c r="AF124" i="7" s="1"/>
  <c r="AF45" i="7"/>
  <c r="AF49" i="7" s="1"/>
  <c r="AF126" i="7" s="1"/>
  <c r="AU231" i="7"/>
  <c r="AT230" i="7"/>
  <c r="AG123" i="7"/>
  <c r="AH25" i="7"/>
  <c r="AH27" i="7" s="1"/>
  <c r="AD96" i="7"/>
  <c r="AD64" i="7"/>
  <c r="AD97" i="7" s="1"/>
  <c r="AD63" i="7"/>
  <c r="AB258" i="7" l="1"/>
  <c r="AT66" i="7"/>
  <c r="AT247" i="7"/>
  <c r="AB164" i="7"/>
  <c r="AT212" i="7"/>
  <c r="AT213" i="7"/>
  <c r="AC133" i="7"/>
  <c r="AR211" i="7"/>
  <c r="AS214" i="7"/>
  <c r="AS215" i="7" s="1"/>
  <c r="AS198" i="7"/>
  <c r="AT145" i="7"/>
  <c r="AT200" i="7" s="1"/>
  <c r="AT75" i="7"/>
  <c r="AT71" i="7"/>
  <c r="AT79" i="7" s="1"/>
  <c r="AT73" i="7"/>
  <c r="AT81" i="7" s="1"/>
  <c r="AT168" i="7" s="1"/>
  <c r="AT146" i="7"/>
  <c r="AT201" i="7" s="1"/>
  <c r="AT72" i="7"/>
  <c r="AT80" i="7" s="1"/>
  <c r="AT144" i="7"/>
  <c r="AT199" i="7" s="1"/>
  <c r="AT76" i="7"/>
  <c r="AT84" i="7" s="1"/>
  <c r="AT171" i="7" s="1"/>
  <c r="AC117" i="7"/>
  <c r="AC157" i="7" s="1"/>
  <c r="AC161" i="7" s="1"/>
  <c r="AC258" i="7" s="1"/>
  <c r="AD115" i="7"/>
  <c r="AD155" i="7" s="1"/>
  <c r="AD131" i="7"/>
  <c r="AD116" i="7"/>
  <c r="AD156" i="7" s="1"/>
  <c r="AD132" i="7"/>
  <c r="AD136" i="7"/>
  <c r="AF149" i="7"/>
  <c r="AF150" i="7"/>
  <c r="AD148" i="7"/>
  <c r="AD147" i="7"/>
  <c r="AE125" i="7"/>
  <c r="AE135" i="7"/>
  <c r="AS83" i="7"/>
  <c r="AS170" i="7" s="1"/>
  <c r="AT82" i="7"/>
  <c r="AE90" i="7"/>
  <c r="AE140" i="7" s="1"/>
  <c r="AE87" i="7"/>
  <c r="AE137" i="7" s="1"/>
  <c r="AE91" i="7"/>
  <c r="AE141" i="7" s="1"/>
  <c r="AE92" i="7"/>
  <c r="AE142" i="7" s="1"/>
  <c r="AD89" i="7"/>
  <c r="AD139" i="7" s="1"/>
  <c r="AD88" i="7"/>
  <c r="AD138" i="7" s="1"/>
  <c r="AB154" i="7"/>
  <c r="AB175" i="7"/>
  <c r="V79" i="7"/>
  <c r="V87" i="7" s="1"/>
  <c r="W78" i="7"/>
  <c r="V80" i="7"/>
  <c r="V88" i="7" s="1"/>
  <c r="V81" i="7"/>
  <c r="V89" i="7" s="1"/>
  <c r="V84" i="7"/>
  <c r="V92" i="7" s="1"/>
  <c r="V82" i="7"/>
  <c r="V90" i="7" s="1"/>
  <c r="U10" i="7"/>
  <c r="U79" i="7" s="1"/>
  <c r="U87" i="7" s="1"/>
  <c r="AT60" i="7"/>
  <c r="AT99" i="7"/>
  <c r="AT41" i="7"/>
  <c r="AT20" i="7"/>
  <c r="AT129" i="7" s="1"/>
  <c r="AT17" i="7"/>
  <c r="AT128" i="7" s="1"/>
  <c r="AT112" i="7"/>
  <c r="AT59" i="7"/>
  <c r="AT24" i="7"/>
  <c r="AT19" i="7"/>
  <c r="AT110" i="7"/>
  <c r="AT107" i="7"/>
  <c r="AU3" i="7"/>
  <c r="AT57" i="7"/>
  <c r="AT106" i="7"/>
  <c r="AT53" i="7"/>
  <c r="AT58" i="7"/>
  <c r="AT109" i="7"/>
  <c r="AT16" i="7"/>
  <c r="AT127" i="7" s="1"/>
  <c r="AG33" i="7"/>
  <c r="AG124" i="7" s="1"/>
  <c r="AG45" i="7"/>
  <c r="AG49" i="7" s="1"/>
  <c r="AG126" i="7" s="1"/>
  <c r="AB197" i="7"/>
  <c r="AB226" i="7"/>
  <c r="AC197" i="7"/>
  <c r="AC226" i="7"/>
  <c r="AV231" i="7"/>
  <c r="AU230" i="7"/>
  <c r="AF37" i="7"/>
  <c r="AF62" i="7"/>
  <c r="AE96" i="7"/>
  <c r="AE64" i="7"/>
  <c r="AE97" i="7" s="1"/>
  <c r="AE63" i="7"/>
  <c r="AH123" i="7"/>
  <c r="AI25" i="7"/>
  <c r="AI27" i="7" s="1"/>
  <c r="AC227" i="7" l="1"/>
  <c r="AB227" i="7"/>
  <c r="AU66" i="7"/>
  <c r="AU247" i="7"/>
  <c r="AS211" i="7"/>
  <c r="AU212" i="7"/>
  <c r="AU213" i="7"/>
  <c r="AT214" i="7"/>
  <c r="AT215" i="7" s="1"/>
  <c r="AT198" i="7"/>
  <c r="AU144" i="7"/>
  <c r="AU199" i="7" s="1"/>
  <c r="AU71" i="7"/>
  <c r="AU79" i="7" s="1"/>
  <c r="AU145" i="7"/>
  <c r="AU200" i="7" s="1"/>
  <c r="AU146" i="7"/>
  <c r="AU201" i="7" s="1"/>
  <c r="AU72" i="7"/>
  <c r="AU80" i="7" s="1"/>
  <c r="AU73" i="7"/>
  <c r="AU81" i="7" s="1"/>
  <c r="AU168" i="7" s="1"/>
  <c r="AU75" i="7"/>
  <c r="AU76" i="7"/>
  <c r="AU84" i="7" s="1"/>
  <c r="AU171" i="7" s="1"/>
  <c r="AE116" i="7"/>
  <c r="AE156" i="7" s="1"/>
  <c r="AE132" i="7"/>
  <c r="AE115" i="7"/>
  <c r="AE155" i="7" s="1"/>
  <c r="AE131" i="7"/>
  <c r="AD117" i="7"/>
  <c r="AD157" i="7" s="1"/>
  <c r="AD133" i="7"/>
  <c r="AG149" i="7"/>
  <c r="AG150" i="7"/>
  <c r="AE147" i="7"/>
  <c r="AE148" i="7"/>
  <c r="AE136" i="7"/>
  <c r="AF125" i="7"/>
  <c r="AF135" i="7"/>
  <c r="AT83" i="7"/>
  <c r="AT170" i="7" s="1"/>
  <c r="AB160" i="7"/>
  <c r="AF91" i="7"/>
  <c r="AF141" i="7" s="1"/>
  <c r="AF92" i="7"/>
  <c r="AF142" i="7" s="1"/>
  <c r="AF90" i="7"/>
  <c r="AF140" i="7" s="1"/>
  <c r="AF87" i="7"/>
  <c r="AF137" i="7" s="1"/>
  <c r="AE89" i="7"/>
  <c r="AE139" i="7" s="1"/>
  <c r="AE88" i="7"/>
  <c r="AE138" i="7" s="1"/>
  <c r="AU82" i="7"/>
  <c r="AC175" i="7"/>
  <c r="AC154" i="7"/>
  <c r="U81" i="7"/>
  <c r="U89" i="7" s="1"/>
  <c r="V78" i="7"/>
  <c r="U82" i="7"/>
  <c r="U90" i="7" s="1"/>
  <c r="T10" i="7"/>
  <c r="T79" i="7" s="1"/>
  <c r="T87" i="7" s="1"/>
  <c r="U83" i="7"/>
  <c r="U91" i="7" s="1"/>
  <c r="U80" i="7"/>
  <c r="U88" i="7" s="1"/>
  <c r="U84" i="7"/>
  <c r="U92" i="7" s="1"/>
  <c r="AU60" i="7"/>
  <c r="AU20" i="7"/>
  <c r="AU129" i="7" s="1"/>
  <c r="AU106" i="7"/>
  <c r="AU59" i="7"/>
  <c r="AU57" i="7"/>
  <c r="AV3" i="7"/>
  <c r="AU107" i="7"/>
  <c r="AU58" i="7"/>
  <c r="AU24" i="7"/>
  <c r="AU99" i="7"/>
  <c r="AU16" i="7"/>
  <c r="AU127" i="7" s="1"/>
  <c r="AU110" i="7"/>
  <c r="AU53" i="7"/>
  <c r="AU112" i="7"/>
  <c r="AU109" i="7"/>
  <c r="AU41" i="7"/>
  <c r="AU17" i="7"/>
  <c r="AU128" i="7" s="1"/>
  <c r="AU19" i="7"/>
  <c r="AI123" i="7"/>
  <c r="AJ25" i="7"/>
  <c r="AJ27" i="7" s="1"/>
  <c r="AD197" i="7"/>
  <c r="AD226" i="7"/>
  <c r="AD227" i="7" s="1"/>
  <c r="AF96" i="7"/>
  <c r="AF64" i="7"/>
  <c r="AF97" i="7" s="1"/>
  <c r="AF63" i="7"/>
  <c r="AW231" i="7"/>
  <c r="AV230" i="7"/>
  <c r="AH33" i="7"/>
  <c r="AH124" i="7" s="1"/>
  <c r="AH45" i="7"/>
  <c r="AH49" i="7" s="1"/>
  <c r="AH126" i="7" s="1"/>
  <c r="AG37" i="7"/>
  <c r="AG62" i="7"/>
  <c r="AV66" i="7" l="1"/>
  <c r="AV247" i="7"/>
  <c r="AV212" i="7"/>
  <c r="AV213" i="7"/>
  <c r="AU214" i="7"/>
  <c r="AU215" i="7" s="1"/>
  <c r="AT211" i="7"/>
  <c r="AB159" i="7"/>
  <c r="AB163" i="7" s="1"/>
  <c r="AD161" i="7"/>
  <c r="AU198" i="7"/>
  <c r="AV146" i="7"/>
  <c r="AV201" i="7" s="1"/>
  <c r="AV72" i="7"/>
  <c r="AV80" i="7" s="1"/>
  <c r="AV144" i="7"/>
  <c r="AV199" i="7" s="1"/>
  <c r="AV145" i="7"/>
  <c r="AV200" i="7" s="1"/>
  <c r="AV75" i="7"/>
  <c r="AV71" i="7"/>
  <c r="AV79" i="7" s="1"/>
  <c r="AV73" i="7"/>
  <c r="AV81" i="7" s="1"/>
  <c r="AV168" i="7" s="1"/>
  <c r="AV76" i="7"/>
  <c r="AV84" i="7" s="1"/>
  <c r="AV171" i="7" s="1"/>
  <c r="AE117" i="7"/>
  <c r="AE157" i="7" s="1"/>
  <c r="AF116" i="7"/>
  <c r="AF156" i="7" s="1"/>
  <c r="AF132" i="7"/>
  <c r="AE133" i="7"/>
  <c r="AF115" i="7"/>
  <c r="AF155" i="7" s="1"/>
  <c r="AF131" i="7"/>
  <c r="AF148" i="7"/>
  <c r="AF147" i="7"/>
  <c r="AH150" i="7"/>
  <c r="AH149" i="7"/>
  <c r="AF136" i="7"/>
  <c r="AG125" i="7"/>
  <c r="AG135" i="7"/>
  <c r="AU83" i="7"/>
  <c r="AU170" i="7" s="1"/>
  <c r="AC160" i="7"/>
  <c r="AC159" i="7" s="1"/>
  <c r="AC163" i="7" s="1"/>
  <c r="AC173" i="7" s="1"/>
  <c r="AG92" i="7"/>
  <c r="AG142" i="7" s="1"/>
  <c r="AG87" i="7"/>
  <c r="AG137" i="7" s="1"/>
  <c r="AG90" i="7"/>
  <c r="AG140" i="7" s="1"/>
  <c r="AG91" i="7"/>
  <c r="AG141" i="7" s="1"/>
  <c r="AF88" i="7"/>
  <c r="AF138" i="7" s="1"/>
  <c r="AF89" i="7"/>
  <c r="AF139" i="7" s="1"/>
  <c r="AV82" i="7"/>
  <c r="AD154" i="7"/>
  <c r="AD175" i="7"/>
  <c r="T83" i="7"/>
  <c r="T91" i="7" s="1"/>
  <c r="T81" i="7"/>
  <c r="T89" i="7" s="1"/>
  <c r="T82" i="7"/>
  <c r="T90" i="7" s="1"/>
  <c r="S10" i="7"/>
  <c r="S83" i="7" s="1"/>
  <c r="S91" i="7" s="1"/>
  <c r="T84" i="7"/>
  <c r="T92" i="7" s="1"/>
  <c r="T80" i="7"/>
  <c r="T88" i="7" s="1"/>
  <c r="U78" i="7"/>
  <c r="AV112" i="7"/>
  <c r="AV41" i="7"/>
  <c r="AV99" i="7"/>
  <c r="AV110" i="7"/>
  <c r="AV109" i="7"/>
  <c r="AV20" i="7"/>
  <c r="AV129" i="7" s="1"/>
  <c r="AV17" i="7"/>
  <c r="AV128" i="7" s="1"/>
  <c r="AV24" i="7"/>
  <c r="AV60" i="7"/>
  <c r="AV53" i="7"/>
  <c r="AV59" i="7"/>
  <c r="AV58" i="7"/>
  <c r="AV106" i="7"/>
  <c r="AV16" i="7"/>
  <c r="AV127" i="7" s="1"/>
  <c r="AW3" i="7"/>
  <c r="AV107" i="7"/>
  <c r="AV57" i="7"/>
  <c r="AV19" i="7"/>
  <c r="AH37" i="7"/>
  <c r="AH62" i="7"/>
  <c r="AE197" i="7"/>
  <c r="AE226" i="7"/>
  <c r="AG96" i="7"/>
  <c r="AG64" i="7"/>
  <c r="AG97" i="7" s="1"/>
  <c r="AG63" i="7"/>
  <c r="AJ123" i="7"/>
  <c r="AK25" i="7"/>
  <c r="AK27" i="7" s="1"/>
  <c r="AX231" i="7"/>
  <c r="AW230" i="7"/>
  <c r="AI33" i="7"/>
  <c r="AI124" i="7" s="1"/>
  <c r="AI45" i="7"/>
  <c r="AI49" i="7" s="1"/>
  <c r="AI126" i="7" s="1"/>
  <c r="AD258" i="7" l="1"/>
  <c r="AB173" i="7"/>
  <c r="AB177" i="7" s="1"/>
  <c r="AE227" i="7"/>
  <c r="AW66" i="7"/>
  <c r="AW247" i="7"/>
  <c r="AU211" i="7"/>
  <c r="AW212" i="7"/>
  <c r="AW213" i="7"/>
  <c r="AV214" i="7"/>
  <c r="AV215" i="7" s="1"/>
  <c r="AE161" i="7"/>
  <c r="AE258" i="7" s="1"/>
  <c r="AV198" i="7"/>
  <c r="AW145" i="7"/>
  <c r="AW200" i="7" s="1"/>
  <c r="AW71" i="7"/>
  <c r="AW79" i="7" s="1"/>
  <c r="AW144" i="7"/>
  <c r="AW199" i="7" s="1"/>
  <c r="AW146" i="7"/>
  <c r="AW201" i="7" s="1"/>
  <c r="AW75" i="7"/>
  <c r="AW72" i="7"/>
  <c r="AW80" i="7" s="1"/>
  <c r="AW73" i="7"/>
  <c r="AW81" i="7" s="1"/>
  <c r="AW168" i="7" s="1"/>
  <c r="AW76" i="7"/>
  <c r="AW84" i="7" s="1"/>
  <c r="AW171" i="7" s="1"/>
  <c r="AF117" i="7"/>
  <c r="AF157" i="7" s="1"/>
  <c r="AF133" i="7"/>
  <c r="AG115" i="7"/>
  <c r="AG155" i="7" s="1"/>
  <c r="AG131" i="7"/>
  <c r="AG116" i="7"/>
  <c r="AG156" i="7" s="1"/>
  <c r="AG132" i="7"/>
  <c r="AG136" i="7"/>
  <c r="AI150" i="7"/>
  <c r="AI149" i="7"/>
  <c r="AG148" i="7"/>
  <c r="AG147" i="7"/>
  <c r="AH125" i="7"/>
  <c r="AH135" i="7"/>
  <c r="AV83" i="7"/>
  <c r="AV170" i="7" s="1"/>
  <c r="AD160" i="7"/>
  <c r="AD159" i="7" s="1"/>
  <c r="AD163" i="7" s="1"/>
  <c r="AD173" i="7" s="1"/>
  <c r="AH90" i="7"/>
  <c r="AH140" i="7" s="1"/>
  <c r="AH87" i="7"/>
  <c r="AH137" i="7" s="1"/>
  <c r="AH92" i="7"/>
  <c r="AH142" i="7" s="1"/>
  <c r="AH91" i="7"/>
  <c r="AH141" i="7" s="1"/>
  <c r="AW82" i="7"/>
  <c r="AG88" i="7"/>
  <c r="AG138" i="7" s="1"/>
  <c r="AG89" i="7"/>
  <c r="AG139" i="7" s="1"/>
  <c r="AE154" i="7"/>
  <c r="AE175" i="7"/>
  <c r="AF161" i="7"/>
  <c r="AF258" i="7" s="1"/>
  <c r="S82" i="7"/>
  <c r="S90" i="7" s="1"/>
  <c r="R10" i="7"/>
  <c r="Q10" i="7" s="1"/>
  <c r="Q82" i="7" s="1"/>
  <c r="Q90" i="7" s="1"/>
  <c r="S79" i="7"/>
  <c r="S87" i="7" s="1"/>
  <c r="S84" i="7"/>
  <c r="S92" i="7" s="1"/>
  <c r="S81" i="7"/>
  <c r="S89" i="7" s="1"/>
  <c r="S80" i="7"/>
  <c r="S88" i="7" s="1"/>
  <c r="T78" i="7"/>
  <c r="AW110" i="7"/>
  <c r="AW19" i="7"/>
  <c r="AW107" i="7"/>
  <c r="AW53" i="7"/>
  <c r="AW24" i="7"/>
  <c r="AX3" i="7"/>
  <c r="AW60" i="7"/>
  <c r="AW17" i="7"/>
  <c r="AW128" i="7" s="1"/>
  <c r="AW112" i="7"/>
  <c r="AW59" i="7"/>
  <c r="AW58" i="7"/>
  <c r="AW99" i="7"/>
  <c r="AW16" i="7"/>
  <c r="AW127" i="7" s="1"/>
  <c r="AW57" i="7"/>
  <c r="AW41" i="7"/>
  <c r="AW106" i="7"/>
  <c r="AW20" i="7"/>
  <c r="AW129" i="7" s="1"/>
  <c r="AW109" i="7"/>
  <c r="AY231" i="7"/>
  <c r="AX230" i="7"/>
  <c r="AI37" i="7"/>
  <c r="AI62" i="7"/>
  <c r="AJ45" i="7"/>
  <c r="AJ49" i="7" s="1"/>
  <c r="AJ126" i="7" s="1"/>
  <c r="AJ33" i="7"/>
  <c r="AJ124" i="7" s="1"/>
  <c r="AF226" i="7"/>
  <c r="AF197" i="7"/>
  <c r="AH64" i="7"/>
  <c r="AH97" i="7" s="1"/>
  <c r="AH63" i="7"/>
  <c r="AH96" i="7"/>
  <c r="AL25" i="7"/>
  <c r="AL27" i="7" s="1"/>
  <c r="AK123" i="7"/>
  <c r="K255" i="7" l="1"/>
  <c r="K258" i="7"/>
  <c r="AB178" i="7"/>
  <c r="AB219" i="7"/>
  <c r="AB191" i="7"/>
  <c r="AF227" i="7"/>
  <c r="AX66" i="7"/>
  <c r="AX247" i="7"/>
  <c r="AX212" i="7"/>
  <c r="AX213" i="7"/>
  <c r="AV211" i="7"/>
  <c r="AW214" i="7"/>
  <c r="AW215" i="7" s="1"/>
  <c r="AW198" i="7"/>
  <c r="AH136" i="7"/>
  <c r="AX146" i="7"/>
  <c r="AX201" i="7" s="1"/>
  <c r="AX73" i="7"/>
  <c r="AX81" i="7" s="1"/>
  <c r="AX168" i="7" s="1"/>
  <c r="AX144" i="7"/>
  <c r="AX199" i="7" s="1"/>
  <c r="AX145" i="7"/>
  <c r="AX200" i="7" s="1"/>
  <c r="AX75" i="7"/>
  <c r="AX71" i="7"/>
  <c r="AX79" i="7" s="1"/>
  <c r="AX72" i="7"/>
  <c r="AX80" i="7" s="1"/>
  <c r="AX76" i="7"/>
  <c r="AX84" i="7" s="1"/>
  <c r="AX171" i="7" s="1"/>
  <c r="AH116" i="7"/>
  <c r="AH156" i="7" s="1"/>
  <c r="AH132" i="7"/>
  <c r="AH115" i="7"/>
  <c r="AH155" i="7" s="1"/>
  <c r="AH131" i="7"/>
  <c r="AG117" i="7"/>
  <c r="AG157" i="7" s="1"/>
  <c r="AG161" i="7" s="1"/>
  <c r="AG133" i="7"/>
  <c r="AJ150" i="7"/>
  <c r="AJ149" i="7"/>
  <c r="AH148" i="7"/>
  <c r="AH147" i="7"/>
  <c r="AI125" i="7"/>
  <c r="AI135" i="7"/>
  <c r="AW83" i="7"/>
  <c r="AW170" i="7" s="1"/>
  <c r="AE160" i="7"/>
  <c r="AE159" i="7" s="1"/>
  <c r="AE163" i="7" s="1"/>
  <c r="AE173" i="7" s="1"/>
  <c r="AI87" i="7"/>
  <c r="AI137" i="7" s="1"/>
  <c r="AI92" i="7"/>
  <c r="AI142" i="7" s="1"/>
  <c r="AI91" i="7"/>
  <c r="AI141" i="7" s="1"/>
  <c r="AI90" i="7"/>
  <c r="AI140" i="7" s="1"/>
  <c r="AH88" i="7"/>
  <c r="AH138" i="7" s="1"/>
  <c r="AH89" i="7"/>
  <c r="AH139" i="7" s="1"/>
  <c r="AX82" i="7"/>
  <c r="AF154" i="7"/>
  <c r="AF175" i="7"/>
  <c r="Q80" i="7"/>
  <c r="Q88" i="7" s="1"/>
  <c r="R84" i="7"/>
  <c r="R92" i="7" s="1"/>
  <c r="Q81" i="7"/>
  <c r="Q89" i="7" s="1"/>
  <c r="P10" i="7"/>
  <c r="P83" i="7" s="1"/>
  <c r="P91" i="7" s="1"/>
  <c r="R83" i="7"/>
  <c r="R91" i="7" s="1"/>
  <c r="Q79" i="7"/>
  <c r="Q87" i="7" s="1"/>
  <c r="Q83" i="7"/>
  <c r="Q91" i="7" s="1"/>
  <c r="Q84" i="7"/>
  <c r="Q92" i="7" s="1"/>
  <c r="R81" i="7"/>
  <c r="R89" i="7" s="1"/>
  <c r="R80" i="7"/>
  <c r="R88" i="7" s="1"/>
  <c r="R79" i="7"/>
  <c r="R87" i="7" s="1"/>
  <c r="R82" i="7"/>
  <c r="R90" i="7" s="1"/>
  <c r="S78" i="7"/>
  <c r="AX16" i="7"/>
  <c r="AX127" i="7" s="1"/>
  <c r="AX99" i="7"/>
  <c r="AX57" i="7"/>
  <c r="AX53" i="7"/>
  <c r="AX41" i="7"/>
  <c r="AX24" i="7"/>
  <c r="AX112" i="7"/>
  <c r="AX20" i="7"/>
  <c r="AX129" i="7" s="1"/>
  <c r="AX60" i="7"/>
  <c r="AX109" i="7"/>
  <c r="AX19" i="7"/>
  <c r="AX107" i="7"/>
  <c r="AX110" i="7"/>
  <c r="AX17" i="7"/>
  <c r="AX128" i="7" s="1"/>
  <c r="AX59" i="7"/>
  <c r="AX106" i="7"/>
  <c r="AX58" i="7"/>
  <c r="AY3" i="7"/>
  <c r="AK45" i="7"/>
  <c r="AK49" i="7" s="1"/>
  <c r="AK126" i="7" s="1"/>
  <c r="AK33" i="7"/>
  <c r="AK124" i="7" s="1"/>
  <c r="AJ37" i="7"/>
  <c r="AJ62" i="7"/>
  <c r="AM25" i="7"/>
  <c r="AL123" i="7"/>
  <c r="AI96" i="7"/>
  <c r="AI64" i="7"/>
  <c r="AI97" i="7" s="1"/>
  <c r="AI63" i="7"/>
  <c r="AY230" i="7"/>
  <c r="AZ231" i="7"/>
  <c r="AG258" i="7" l="1"/>
  <c r="AM27" i="7"/>
  <c r="AN25" i="7"/>
  <c r="AN27" i="7" s="1"/>
  <c r="AY66" i="7"/>
  <c r="AY247" i="7"/>
  <c r="AY212" i="7"/>
  <c r="AY213" i="7"/>
  <c r="AW211" i="7"/>
  <c r="AX214" i="7"/>
  <c r="AX215" i="7" s="1"/>
  <c r="AH117" i="7"/>
  <c r="AH157" i="7" s="1"/>
  <c r="AH161" i="7" s="1"/>
  <c r="AH258" i="7" s="1"/>
  <c r="AX198" i="7"/>
  <c r="AY73" i="7"/>
  <c r="AY81" i="7" s="1"/>
  <c r="AY168" i="7" s="1"/>
  <c r="AY75" i="7"/>
  <c r="AY145" i="7"/>
  <c r="AY200" i="7" s="1"/>
  <c r="AY71" i="7"/>
  <c r="AY79" i="7" s="1"/>
  <c r="AY144" i="7"/>
  <c r="AY199" i="7" s="1"/>
  <c r="AY146" i="7"/>
  <c r="AY201" i="7" s="1"/>
  <c r="AY72" i="7"/>
  <c r="AY80" i="7" s="1"/>
  <c r="AY76" i="7"/>
  <c r="AY84" i="7" s="1"/>
  <c r="AY171" i="7" s="1"/>
  <c r="AI136" i="7"/>
  <c r="AH133" i="7"/>
  <c r="AI116" i="7"/>
  <c r="AI156" i="7" s="1"/>
  <c r="AI132" i="7"/>
  <c r="AI115" i="7"/>
  <c r="AI155" i="7" s="1"/>
  <c r="AI131" i="7"/>
  <c r="AK150" i="7"/>
  <c r="AK149" i="7"/>
  <c r="AI147" i="7"/>
  <c r="AI148" i="7"/>
  <c r="AJ125" i="7"/>
  <c r="AJ135" i="7"/>
  <c r="AX83" i="7"/>
  <c r="AX170" i="7" s="1"/>
  <c r="AF160" i="7"/>
  <c r="AF159" i="7" s="1"/>
  <c r="AF163" i="7" s="1"/>
  <c r="AF173" i="7" s="1"/>
  <c r="AY82" i="7"/>
  <c r="AI89" i="7"/>
  <c r="AI139" i="7" s="1"/>
  <c r="AI88" i="7"/>
  <c r="AI138" i="7" s="1"/>
  <c r="AJ92" i="7"/>
  <c r="AJ142" i="7" s="1"/>
  <c r="AJ90" i="7"/>
  <c r="AJ140" i="7" s="1"/>
  <c r="AJ87" i="7"/>
  <c r="AJ137" i="7" s="1"/>
  <c r="AJ91" i="7"/>
  <c r="AJ141" i="7" s="1"/>
  <c r="P84" i="7"/>
  <c r="P92" i="7" s="1"/>
  <c r="P79" i="7"/>
  <c r="P87" i="7" s="1"/>
  <c r="O10" i="7"/>
  <c r="O80" i="7" s="1"/>
  <c r="O88" i="7" s="1"/>
  <c r="P80" i="7"/>
  <c r="P88" i="7" s="1"/>
  <c r="P82" i="7"/>
  <c r="P90" i="7" s="1"/>
  <c r="P81" i="7"/>
  <c r="P89" i="7" s="1"/>
  <c r="AG154" i="7"/>
  <c r="AG175" i="7"/>
  <c r="Q78" i="7"/>
  <c r="R78" i="7"/>
  <c r="AY110" i="7"/>
  <c r="AY17" i="7"/>
  <c r="AY128" i="7" s="1"/>
  <c r="AY58" i="7"/>
  <c r="AY109" i="7"/>
  <c r="AY41" i="7"/>
  <c r="AY107" i="7"/>
  <c r="AY112" i="7"/>
  <c r="AY60" i="7"/>
  <c r="AZ3" i="7"/>
  <c r="AY16" i="7"/>
  <c r="AY127" i="7" s="1"/>
  <c r="AY99" i="7"/>
  <c r="AY53" i="7"/>
  <c r="AY19" i="7"/>
  <c r="AY57" i="7"/>
  <c r="AY24" i="7"/>
  <c r="AY59" i="7"/>
  <c r="AY20" i="7"/>
  <c r="AY129" i="7" s="1"/>
  <c r="AY106" i="7"/>
  <c r="AZ230" i="7"/>
  <c r="BA231" i="7"/>
  <c r="AJ96" i="7"/>
  <c r="AJ64" i="7"/>
  <c r="AJ97" i="7" s="1"/>
  <c r="AJ63" i="7"/>
  <c r="AK37" i="7"/>
  <c r="AK62" i="7"/>
  <c r="AH226" i="7"/>
  <c r="AH197" i="7"/>
  <c r="AG226" i="7"/>
  <c r="AG197" i="7"/>
  <c r="AL33" i="7"/>
  <c r="AL124" i="7" s="1"/>
  <c r="AL45" i="7"/>
  <c r="AL49" i="7" s="1"/>
  <c r="AL126" i="7" s="1"/>
  <c r="AM123" i="7"/>
  <c r="AG227" i="7" l="1"/>
  <c r="AH227" i="7"/>
  <c r="AN123" i="7"/>
  <c r="AN45" i="7"/>
  <c r="AN49" i="7" s="1"/>
  <c r="AN126" i="7" s="1"/>
  <c r="AN33" i="7"/>
  <c r="AZ66" i="7"/>
  <c r="AZ247" i="7"/>
  <c r="AZ212" i="7"/>
  <c r="AZ213" i="7"/>
  <c r="AX211" i="7"/>
  <c r="AY214" i="7"/>
  <c r="AY215" i="7" s="1"/>
  <c r="AY198" i="7"/>
  <c r="AZ145" i="7"/>
  <c r="AZ200" i="7" s="1"/>
  <c r="AZ146" i="7"/>
  <c r="AZ201" i="7" s="1"/>
  <c r="AZ72" i="7"/>
  <c r="AZ80" i="7" s="1"/>
  <c r="AZ144" i="7"/>
  <c r="AZ199" i="7" s="1"/>
  <c r="AZ71" i="7"/>
  <c r="AZ79" i="7" s="1"/>
  <c r="AZ75" i="7"/>
  <c r="AZ73" i="7"/>
  <c r="AZ81" i="7" s="1"/>
  <c r="AZ168" i="7" s="1"/>
  <c r="AZ76" i="7"/>
  <c r="AZ84" i="7" s="1"/>
  <c r="AZ171" i="7" s="1"/>
  <c r="AI117" i="7"/>
  <c r="AI157" i="7" s="1"/>
  <c r="AI161" i="7" s="1"/>
  <c r="AI258" i="7" s="1"/>
  <c r="AJ116" i="7"/>
  <c r="AJ156" i="7" s="1"/>
  <c r="AJ132" i="7"/>
  <c r="AJ115" i="7"/>
  <c r="AJ155" i="7" s="1"/>
  <c r="AJ131" i="7"/>
  <c r="AI133" i="7"/>
  <c r="AL149" i="7"/>
  <c r="AL150" i="7"/>
  <c r="AJ147" i="7"/>
  <c r="AJ148" i="7"/>
  <c r="AJ136" i="7"/>
  <c r="AK125" i="7"/>
  <c r="AK135" i="7"/>
  <c r="AY83" i="7"/>
  <c r="AY170" i="7" s="1"/>
  <c r="AG160" i="7"/>
  <c r="AG159" i="7" s="1"/>
  <c r="AG163" i="7" s="1"/>
  <c r="AG173" i="7" s="1"/>
  <c r="AK87" i="7"/>
  <c r="AK137" i="7" s="1"/>
  <c r="AK91" i="7"/>
  <c r="AK141" i="7" s="1"/>
  <c r="AK90" i="7"/>
  <c r="AK140" i="7" s="1"/>
  <c r="AK92" i="7"/>
  <c r="AK142" i="7" s="1"/>
  <c r="AJ88" i="7"/>
  <c r="AJ138" i="7" s="1"/>
  <c r="AJ89" i="7"/>
  <c r="AJ139" i="7" s="1"/>
  <c r="AZ82" i="7"/>
  <c r="O81" i="7"/>
  <c r="O89" i="7" s="1"/>
  <c r="O82" i="7"/>
  <c r="O90" i="7" s="1"/>
  <c r="O79" i="7"/>
  <c r="O87" i="7" s="1"/>
  <c r="O84" i="7"/>
  <c r="O92" i="7" s="1"/>
  <c r="O83" i="7"/>
  <c r="O91" i="7" s="1"/>
  <c r="P78" i="7"/>
  <c r="AH154" i="7"/>
  <c r="AH175" i="7"/>
  <c r="AZ110" i="7"/>
  <c r="AZ59" i="7"/>
  <c r="AZ19" i="7"/>
  <c r="AZ41" i="7"/>
  <c r="AZ20" i="7"/>
  <c r="AZ129" i="7" s="1"/>
  <c r="AZ24" i="7"/>
  <c r="AZ112" i="7"/>
  <c r="AZ58" i="7"/>
  <c r="AZ57" i="7"/>
  <c r="AZ109" i="7"/>
  <c r="AZ107" i="7"/>
  <c r="AZ106" i="7"/>
  <c r="AZ53" i="7"/>
  <c r="AZ99" i="7"/>
  <c r="AZ16" i="7"/>
  <c r="AZ127" i="7" s="1"/>
  <c r="AZ17" i="7"/>
  <c r="AZ128" i="7" s="1"/>
  <c r="BA3" i="7"/>
  <c r="AZ60" i="7"/>
  <c r="AM33" i="7"/>
  <c r="AM124" i="7" s="1"/>
  <c r="AM45" i="7"/>
  <c r="AM49" i="7" s="1"/>
  <c r="AM126" i="7" s="1"/>
  <c r="AG169" i="7"/>
  <c r="AH169" i="7"/>
  <c r="AI169" i="7"/>
  <c r="AJ169" i="7"/>
  <c r="AK169" i="7"/>
  <c r="BA230" i="7"/>
  <c r="BB231" i="7"/>
  <c r="AK96" i="7"/>
  <c r="AK64" i="7"/>
  <c r="AK97" i="7" s="1"/>
  <c r="AK63" i="7"/>
  <c r="AL37" i="7"/>
  <c r="AL62" i="7"/>
  <c r="AG167" i="7"/>
  <c r="AH167" i="7"/>
  <c r="AI167" i="7"/>
  <c r="AJ167" i="7"/>
  <c r="AI226" i="7"/>
  <c r="AI197" i="7"/>
  <c r="AO25" i="7"/>
  <c r="AO27" i="7" s="1"/>
  <c r="AN37" i="7" l="1"/>
  <c r="AN124" i="7"/>
  <c r="AN62" i="7"/>
  <c r="AI227" i="7"/>
  <c r="AN149" i="7"/>
  <c r="AN150" i="7"/>
  <c r="BA66" i="7"/>
  <c r="BA247" i="7"/>
  <c r="BA212" i="7"/>
  <c r="BA213" i="7"/>
  <c r="AY211" i="7"/>
  <c r="AZ214" i="7"/>
  <c r="AZ215" i="7" s="1"/>
  <c r="AZ198" i="7"/>
  <c r="BA144" i="7"/>
  <c r="BA199" i="7" s="1"/>
  <c r="BA75" i="7"/>
  <c r="BA72" i="7"/>
  <c r="BA80" i="7" s="1"/>
  <c r="BA146" i="7"/>
  <c r="BA201" i="7" s="1"/>
  <c r="BA73" i="7"/>
  <c r="BA81" i="7" s="1"/>
  <c r="BA168" i="7" s="1"/>
  <c r="BA71" i="7"/>
  <c r="BA79" i="7" s="1"/>
  <c r="BA145" i="7"/>
  <c r="BA200" i="7" s="1"/>
  <c r="BA76" i="7"/>
  <c r="BA84" i="7" s="1"/>
  <c r="BA171" i="7" s="1"/>
  <c r="AJ117" i="7"/>
  <c r="AJ157" i="7" s="1"/>
  <c r="AJ161" i="7" s="1"/>
  <c r="AJ258" i="7" s="1"/>
  <c r="AJ133" i="7"/>
  <c r="AK116" i="7"/>
  <c r="AK156" i="7" s="1"/>
  <c r="AK132" i="7"/>
  <c r="AK115" i="7"/>
  <c r="AK155" i="7" s="1"/>
  <c r="AK131" i="7"/>
  <c r="AK136" i="7"/>
  <c r="AM149" i="7"/>
  <c r="AM150" i="7"/>
  <c r="AK147" i="7"/>
  <c r="AK148" i="7"/>
  <c r="AL125" i="7"/>
  <c r="AL135" i="7"/>
  <c r="AZ83" i="7"/>
  <c r="AZ170" i="7" s="1"/>
  <c r="AH160" i="7"/>
  <c r="AH159" i="7" s="1"/>
  <c r="AH163" i="7" s="1"/>
  <c r="AH173" i="7" s="1"/>
  <c r="BA82" i="7"/>
  <c r="AK88" i="7"/>
  <c r="AK138" i="7" s="1"/>
  <c r="AK89" i="7"/>
  <c r="AK139" i="7" s="1"/>
  <c r="AL90" i="7"/>
  <c r="AL140" i="7" s="1"/>
  <c r="AL91" i="7"/>
  <c r="AL141" i="7" s="1"/>
  <c r="AL92" i="7"/>
  <c r="AL142" i="7" s="1"/>
  <c r="AL87" i="7"/>
  <c r="AL137" i="7" s="1"/>
  <c r="O78" i="7"/>
  <c r="AI175" i="7"/>
  <c r="AI154" i="7"/>
  <c r="AK166" i="7"/>
  <c r="AH166" i="7"/>
  <c r="AH165" i="7" s="1"/>
  <c r="AH78" i="7"/>
  <c r="AJ166" i="7"/>
  <c r="AJ165" i="7" s="1"/>
  <c r="AJ78" i="7"/>
  <c r="AI166" i="7"/>
  <c r="AI165" i="7" s="1"/>
  <c r="AI78" i="7"/>
  <c r="AG166" i="7"/>
  <c r="AG165" i="7" s="1"/>
  <c r="AG78" i="7"/>
  <c r="BA99" i="7"/>
  <c r="BA24" i="7"/>
  <c r="BA41" i="7"/>
  <c r="BA107" i="7"/>
  <c r="BA16" i="7"/>
  <c r="BA127" i="7" s="1"/>
  <c r="BA112" i="7"/>
  <c r="BB3" i="7"/>
  <c r="BA59" i="7"/>
  <c r="BA53" i="7"/>
  <c r="BA110" i="7"/>
  <c r="BA109" i="7"/>
  <c r="BA57" i="7"/>
  <c r="BA20" i="7"/>
  <c r="BA129" i="7" s="1"/>
  <c r="BA19" i="7"/>
  <c r="BA58" i="7"/>
  <c r="BA17" i="7"/>
  <c r="BA128" i="7" s="1"/>
  <c r="BA106" i="7"/>
  <c r="BA60" i="7"/>
  <c r="AK167" i="7"/>
  <c r="AL64" i="7"/>
  <c r="AL97" i="7" s="1"/>
  <c r="AL96" i="7"/>
  <c r="AL63" i="7"/>
  <c r="AM37" i="7"/>
  <c r="AM62" i="7"/>
  <c r="AO123" i="7"/>
  <c r="AP25" i="7"/>
  <c r="AP27" i="7" s="1"/>
  <c r="AL169" i="7"/>
  <c r="BC231" i="7"/>
  <c r="BB230" i="7"/>
  <c r="AC167" i="7"/>
  <c r="AJ197" i="7"/>
  <c r="AJ226" i="7"/>
  <c r="AC169" i="7"/>
  <c r="AH177" i="7" l="1"/>
  <c r="AN64" i="7"/>
  <c r="AN97" i="7" s="1"/>
  <c r="AN63" i="7"/>
  <c r="AN96" i="7"/>
  <c r="AN90" i="7"/>
  <c r="AN140" i="7" s="1"/>
  <c r="AN125" i="7"/>
  <c r="AN92" i="7"/>
  <c r="AN142" i="7" s="1"/>
  <c r="AN135" i="7"/>
  <c r="AN91" i="7"/>
  <c r="AN141" i="7" s="1"/>
  <c r="AN87" i="7"/>
  <c r="AN137" i="7" s="1"/>
  <c r="AJ227" i="7"/>
  <c r="BB66" i="7"/>
  <c r="BB247" i="7"/>
  <c r="AG177" i="7"/>
  <c r="AG219" i="7" s="1"/>
  <c r="AI164" i="7"/>
  <c r="AJ164" i="7"/>
  <c r="BB212" i="7"/>
  <c r="BB213" i="7"/>
  <c r="AZ211" i="7"/>
  <c r="BA214" i="7"/>
  <c r="BA215" i="7" s="1"/>
  <c r="BA198" i="7"/>
  <c r="BB145" i="7"/>
  <c r="BB200" i="7" s="1"/>
  <c r="BB75" i="7"/>
  <c r="BB71" i="7"/>
  <c r="BB79" i="7" s="1"/>
  <c r="BB73" i="7"/>
  <c r="BB81" i="7" s="1"/>
  <c r="BB168" i="7" s="1"/>
  <c r="BB72" i="7"/>
  <c r="BB80" i="7" s="1"/>
  <c r="BB146" i="7"/>
  <c r="BB201" i="7" s="1"/>
  <c r="BB144" i="7"/>
  <c r="BB199" i="7" s="1"/>
  <c r="BB76" i="7"/>
  <c r="BB84" i="7" s="1"/>
  <c r="BB171" i="7" s="1"/>
  <c r="AK133" i="7"/>
  <c r="AK117" i="7"/>
  <c r="AK157" i="7" s="1"/>
  <c r="AK161" i="7" s="1"/>
  <c r="AK258" i="7" s="1"/>
  <c r="AL116" i="7"/>
  <c r="AL156" i="7" s="1"/>
  <c r="AL132" i="7"/>
  <c r="AL115" i="7"/>
  <c r="AL155" i="7" s="1"/>
  <c r="AL131" i="7"/>
  <c r="AL148" i="7"/>
  <c r="AL147" i="7"/>
  <c r="AL136" i="7"/>
  <c r="AM125" i="7"/>
  <c r="AM135" i="7"/>
  <c r="AH219" i="7"/>
  <c r="BA83" i="7"/>
  <c r="BA170" i="7" s="1"/>
  <c r="AI160" i="7"/>
  <c r="AI159" i="7" s="1"/>
  <c r="AI163" i="7" s="1"/>
  <c r="AI173" i="7" s="1"/>
  <c r="AM91" i="7"/>
  <c r="AM141" i="7" s="1"/>
  <c r="AM87" i="7"/>
  <c r="AM137" i="7" s="1"/>
  <c r="AM92" i="7"/>
  <c r="AM142" i="7" s="1"/>
  <c r="AM90" i="7"/>
  <c r="AM140" i="7" s="1"/>
  <c r="AL88" i="7"/>
  <c r="AL138" i="7" s="1"/>
  <c r="AL89" i="7"/>
  <c r="AL139" i="7" s="1"/>
  <c r="BB82" i="7"/>
  <c r="AJ175" i="7"/>
  <c r="AJ154" i="7"/>
  <c r="AC166" i="7"/>
  <c r="AC78" i="7"/>
  <c r="AK78" i="7"/>
  <c r="AL166" i="7"/>
  <c r="BB109" i="7"/>
  <c r="BB17" i="7"/>
  <c r="BB128" i="7" s="1"/>
  <c r="BB19" i="7"/>
  <c r="BB106" i="7"/>
  <c r="BB16" i="7"/>
  <c r="BB127" i="7" s="1"/>
  <c r="BB41" i="7"/>
  <c r="BB99" i="7"/>
  <c r="BB60" i="7"/>
  <c r="BB59" i="7"/>
  <c r="BB112" i="7"/>
  <c r="BB107" i="7"/>
  <c r="BB24" i="7"/>
  <c r="BB20" i="7"/>
  <c r="BB129" i="7" s="1"/>
  <c r="BB58" i="7"/>
  <c r="BB110" i="7"/>
  <c r="BC3" i="7"/>
  <c r="BB57" i="7"/>
  <c r="BB53" i="7"/>
  <c r="AH164" i="7"/>
  <c r="AD169" i="7"/>
  <c r="AG164" i="7"/>
  <c r="AO33" i="7"/>
  <c r="AO124" i="7" s="1"/>
  <c r="AO45" i="7"/>
  <c r="AO49" i="7" s="1"/>
  <c r="AO126" i="7" s="1"/>
  <c r="AK165" i="7"/>
  <c r="AK197" i="7"/>
  <c r="AK226" i="7"/>
  <c r="AK227" i="7" s="1"/>
  <c r="AD167" i="7"/>
  <c r="AM96" i="7"/>
  <c r="AM64" i="7"/>
  <c r="AM97" i="7" s="1"/>
  <c r="AM63" i="7"/>
  <c r="AL167" i="7"/>
  <c r="BD231" i="7"/>
  <c r="BC230" i="7"/>
  <c r="AP123" i="7"/>
  <c r="AQ25" i="7"/>
  <c r="AQ27" i="7" s="1"/>
  <c r="AM169" i="7"/>
  <c r="AN131" i="7" l="1"/>
  <c r="AN115" i="7"/>
  <c r="AN148" i="7"/>
  <c r="AN147" i="7"/>
  <c r="AN89" i="7"/>
  <c r="AN139" i="7" s="1"/>
  <c r="AN136" i="7"/>
  <c r="AN88" i="7"/>
  <c r="AN138" i="7" s="1"/>
  <c r="AI177" i="7"/>
  <c r="AI178" i="7" s="1"/>
  <c r="AN116" i="7"/>
  <c r="AN156" i="7" s="1"/>
  <c r="AN132" i="7"/>
  <c r="BC66" i="7"/>
  <c r="BC247" i="7"/>
  <c r="AK164" i="7"/>
  <c r="BC212" i="7"/>
  <c r="BC213" i="7"/>
  <c r="BA211" i="7"/>
  <c r="BB214" i="7"/>
  <c r="BB215" i="7" s="1"/>
  <c r="AC165" i="7"/>
  <c r="BB198" i="7"/>
  <c r="BC144" i="7"/>
  <c r="BC199" i="7" s="1"/>
  <c r="BC145" i="7"/>
  <c r="BC200" i="7" s="1"/>
  <c r="BC71" i="7"/>
  <c r="BC79" i="7" s="1"/>
  <c r="BC146" i="7"/>
  <c r="BC201" i="7" s="1"/>
  <c r="BC72" i="7"/>
  <c r="BC80" i="7" s="1"/>
  <c r="BC73" i="7"/>
  <c r="BC81" i="7" s="1"/>
  <c r="BC168" i="7" s="1"/>
  <c r="BC75" i="7"/>
  <c r="BC76" i="7"/>
  <c r="BC84" i="7" s="1"/>
  <c r="BC171" i="7" s="1"/>
  <c r="AL117" i="7"/>
  <c r="AL157" i="7" s="1"/>
  <c r="AL161" i="7" s="1"/>
  <c r="AL258" i="7" s="1"/>
  <c r="AM116" i="7"/>
  <c r="AM156" i="7" s="1"/>
  <c r="AM132" i="7"/>
  <c r="AL133" i="7"/>
  <c r="AM115" i="7"/>
  <c r="AM155" i="7" s="1"/>
  <c r="AM131" i="7"/>
  <c r="AO149" i="7"/>
  <c r="AO150" i="7"/>
  <c r="AM147" i="7"/>
  <c r="AM148" i="7"/>
  <c r="AM136" i="7"/>
  <c r="BB83" i="7"/>
  <c r="BB170" i="7" s="1"/>
  <c r="AJ160" i="7"/>
  <c r="AJ159" i="7" s="1"/>
  <c r="AJ163" i="7" s="1"/>
  <c r="AK154" i="7"/>
  <c r="AK175" i="7"/>
  <c r="AM88" i="7"/>
  <c r="AM138" i="7" s="1"/>
  <c r="AM89" i="7"/>
  <c r="AM139" i="7" s="1"/>
  <c r="BC82" i="7"/>
  <c r="AM166" i="7"/>
  <c r="AL78" i="7"/>
  <c r="AD166" i="7"/>
  <c r="AD165" i="7" s="1"/>
  <c r="AD78" i="7"/>
  <c r="BC59" i="7"/>
  <c r="BC107" i="7"/>
  <c r="BC112" i="7"/>
  <c r="BC24" i="7"/>
  <c r="BC20" i="7"/>
  <c r="BC129" i="7" s="1"/>
  <c r="BC99" i="7"/>
  <c r="BC58" i="7"/>
  <c r="BC41" i="7"/>
  <c r="BD3" i="7"/>
  <c r="BC110" i="7"/>
  <c r="BC57" i="7"/>
  <c r="BC53" i="7"/>
  <c r="BC17" i="7"/>
  <c r="BC128" i="7" s="1"/>
  <c r="BC19" i="7"/>
  <c r="BC106" i="7"/>
  <c r="BC60" i="7"/>
  <c r="BC109" i="7"/>
  <c r="BC16" i="7"/>
  <c r="BC127" i="7" s="1"/>
  <c r="AL165" i="7"/>
  <c r="BE231" i="7"/>
  <c r="BD230" i="7"/>
  <c r="AL197" i="7"/>
  <c r="AL226" i="7"/>
  <c r="AL227" i="7" s="1"/>
  <c r="AM167" i="7"/>
  <c r="AE169" i="7"/>
  <c r="AF169" i="7"/>
  <c r="AR25" i="7"/>
  <c r="AR27" i="7" s="1"/>
  <c r="AQ123" i="7"/>
  <c r="AP33" i="7"/>
  <c r="AP124" i="7" s="1"/>
  <c r="AP45" i="7"/>
  <c r="AP49" i="7" s="1"/>
  <c r="AP126" i="7" s="1"/>
  <c r="AO37" i="7"/>
  <c r="AO62" i="7"/>
  <c r="AH178" i="7"/>
  <c r="AH191" i="7"/>
  <c r="AE167" i="7"/>
  <c r="AF167" i="7"/>
  <c r="AG191" i="7"/>
  <c r="AG178" i="7"/>
  <c r="AI191" i="7" l="1"/>
  <c r="AI219" i="7"/>
  <c r="AN117" i="7"/>
  <c r="AN157" i="7" s="1"/>
  <c r="AN161" i="7" s="1"/>
  <c r="AN258" i="7" s="1"/>
  <c r="AN155" i="7"/>
  <c r="AJ173" i="7"/>
  <c r="AJ177" i="7"/>
  <c r="AJ219" i="7" s="1"/>
  <c r="BD66" i="7"/>
  <c r="BD247" i="7"/>
  <c r="AL164" i="7"/>
  <c r="AC177" i="7"/>
  <c r="AC219" i="7" s="1"/>
  <c r="AD177" i="7"/>
  <c r="AD219" i="7" s="1"/>
  <c r="BD212" i="7"/>
  <c r="BD213" i="7"/>
  <c r="AC164" i="7"/>
  <c r="BB211" i="7"/>
  <c r="BC214" i="7"/>
  <c r="BC215" i="7" s="1"/>
  <c r="BC198" i="7"/>
  <c r="BD146" i="7"/>
  <c r="BD201" i="7" s="1"/>
  <c r="BD72" i="7"/>
  <c r="BD80" i="7" s="1"/>
  <c r="BD144" i="7"/>
  <c r="BD199" i="7" s="1"/>
  <c r="BD73" i="7"/>
  <c r="BD81" i="7" s="1"/>
  <c r="BD168" i="7" s="1"/>
  <c r="BD145" i="7"/>
  <c r="BD200" i="7" s="1"/>
  <c r="BD75" i="7"/>
  <c r="BD71" i="7"/>
  <c r="BD79" i="7" s="1"/>
  <c r="BD76" i="7"/>
  <c r="BD84" i="7" s="1"/>
  <c r="BD171" i="7" s="1"/>
  <c r="AM117" i="7"/>
  <c r="AM157" i="7" s="1"/>
  <c r="AM161" i="7" s="1"/>
  <c r="AM258" i="7" s="1"/>
  <c r="AM133" i="7"/>
  <c r="AP149" i="7"/>
  <c r="AP150" i="7"/>
  <c r="AO125" i="7"/>
  <c r="AO135" i="7"/>
  <c r="BC83" i="7"/>
  <c r="BC170" i="7" s="1"/>
  <c r="AK160" i="7"/>
  <c r="AK159" i="7" s="1"/>
  <c r="AK163" i="7" s="1"/>
  <c r="BD82" i="7"/>
  <c r="AL175" i="7"/>
  <c r="AO90" i="7"/>
  <c r="AO140" i="7" s="1"/>
  <c r="AO91" i="7"/>
  <c r="AO141" i="7" s="1"/>
  <c r="AO92" i="7"/>
  <c r="AO142" i="7" s="1"/>
  <c r="AO87" i="7"/>
  <c r="AO137" i="7" s="1"/>
  <c r="AL154" i="7"/>
  <c r="AF166" i="7"/>
  <c r="AF165" i="7" s="1"/>
  <c r="AF78" i="7"/>
  <c r="AE166" i="7"/>
  <c r="AE78" i="7"/>
  <c r="AM78" i="7"/>
  <c r="BD60" i="7"/>
  <c r="BD53" i="7"/>
  <c r="BD24" i="7"/>
  <c r="BD58" i="7"/>
  <c r="BD41" i="7"/>
  <c r="BD107" i="7"/>
  <c r="BD59" i="7"/>
  <c r="BD19" i="7"/>
  <c r="BD17" i="7"/>
  <c r="BD128" i="7" s="1"/>
  <c r="BD110" i="7"/>
  <c r="BD112" i="7"/>
  <c r="BE3" i="7"/>
  <c r="BD109" i="7"/>
  <c r="BD16" i="7"/>
  <c r="BD127" i="7" s="1"/>
  <c r="BD106" i="7"/>
  <c r="BD57" i="7"/>
  <c r="BD20" i="7"/>
  <c r="BD129" i="7" s="1"/>
  <c r="BD99" i="7"/>
  <c r="AM165" i="7"/>
  <c r="AP37" i="7"/>
  <c r="AP62" i="7"/>
  <c r="AD164" i="7"/>
  <c r="AO64" i="7"/>
  <c r="AO97" i="7" s="1"/>
  <c r="AO63" i="7"/>
  <c r="AO96" i="7"/>
  <c r="AQ33" i="7"/>
  <c r="AQ124" i="7" s="1"/>
  <c r="AQ45" i="7"/>
  <c r="AQ49" i="7" s="1"/>
  <c r="AQ126" i="7" s="1"/>
  <c r="AO169" i="7"/>
  <c r="AR123" i="7"/>
  <c r="AS25" i="7"/>
  <c r="AS27" i="7" s="1"/>
  <c r="AM197" i="7"/>
  <c r="AM226" i="7"/>
  <c r="BE230" i="7"/>
  <c r="AJ178" i="7" l="1"/>
  <c r="AN227" i="7"/>
  <c r="AM227" i="7"/>
  <c r="AK173" i="7"/>
  <c r="AK177" i="7"/>
  <c r="AK178" i="7" s="1"/>
  <c r="AJ191" i="7"/>
  <c r="AN154" i="7"/>
  <c r="AN160" i="7" s="1"/>
  <c r="AN159" i="7" s="1"/>
  <c r="AN163" i="7" s="1"/>
  <c r="AN133" i="7"/>
  <c r="AN175" i="7"/>
  <c r="AC191" i="7"/>
  <c r="BE66" i="7"/>
  <c r="BE247" i="7"/>
  <c r="AC178" i="7"/>
  <c r="AF177" i="7"/>
  <c r="AF219" i="7" s="1"/>
  <c r="AM164" i="7"/>
  <c r="BE212" i="7"/>
  <c r="BE213" i="7"/>
  <c r="BC211" i="7"/>
  <c r="BD214" i="7"/>
  <c r="BD215" i="7" s="1"/>
  <c r="AE165" i="7"/>
  <c r="BD198" i="7"/>
  <c r="BE145" i="7"/>
  <c r="BE200" i="7" s="1"/>
  <c r="BE71" i="7"/>
  <c r="BE79" i="7" s="1"/>
  <c r="BE144" i="7"/>
  <c r="BE199" i="7" s="1"/>
  <c r="BE146" i="7"/>
  <c r="BE201" i="7" s="1"/>
  <c r="BE72" i="7"/>
  <c r="BE80" i="7" s="1"/>
  <c r="BE73" i="7"/>
  <c r="BE81" i="7" s="1"/>
  <c r="BE168" i="7" s="1"/>
  <c r="L168" i="7" s="1"/>
  <c r="BE75" i="7"/>
  <c r="BE76" i="7"/>
  <c r="BE84" i="7" s="1"/>
  <c r="BE171" i="7" s="1"/>
  <c r="AK191" i="7"/>
  <c r="AO115" i="7"/>
  <c r="AO155" i="7" s="1"/>
  <c r="AO131" i="7"/>
  <c r="AO116" i="7"/>
  <c r="AO156" i="7" s="1"/>
  <c r="AO132" i="7"/>
  <c r="AO136" i="7"/>
  <c r="AQ149" i="7"/>
  <c r="AQ150" i="7"/>
  <c r="AO147" i="7"/>
  <c r="AO148" i="7"/>
  <c r="AP125" i="7"/>
  <c r="AP135" i="7"/>
  <c r="BD83" i="7"/>
  <c r="BD170" i="7" s="1"/>
  <c r="AL160" i="7"/>
  <c r="AL159" i="7" s="1"/>
  <c r="AL163" i="7" s="1"/>
  <c r="AO88" i="7"/>
  <c r="AO138" i="7" s="1"/>
  <c r="AO89" i="7"/>
  <c r="AO139" i="7" s="1"/>
  <c r="BE82" i="7"/>
  <c r="AP92" i="7"/>
  <c r="AP142" i="7" s="1"/>
  <c r="AP91" i="7"/>
  <c r="AP141" i="7" s="1"/>
  <c r="AP87" i="7"/>
  <c r="AP137" i="7" s="1"/>
  <c r="AP90" i="7"/>
  <c r="AP140" i="7" s="1"/>
  <c r="AM154" i="7"/>
  <c r="AM175" i="7"/>
  <c r="AO166" i="7"/>
  <c r="BE107" i="7"/>
  <c r="BE59" i="7"/>
  <c r="BE19" i="7"/>
  <c r="BE99" i="7"/>
  <c r="BE41" i="7"/>
  <c r="BE112" i="7"/>
  <c r="BE58" i="7"/>
  <c r="BE17" i="7"/>
  <c r="BE128" i="7" s="1"/>
  <c r="BE109" i="7"/>
  <c r="BE16" i="7"/>
  <c r="BE127" i="7" s="1"/>
  <c r="BE110" i="7"/>
  <c r="BE53" i="7"/>
  <c r="BE106" i="7"/>
  <c r="BE57" i="7"/>
  <c r="BE60" i="7"/>
  <c r="BE20" i="7"/>
  <c r="BE129" i="7" s="1"/>
  <c r="BE24" i="7"/>
  <c r="AS123" i="7"/>
  <c r="AT25" i="7"/>
  <c r="AT27" i="7" s="1"/>
  <c r="AO167" i="7"/>
  <c r="AR45" i="7"/>
  <c r="AR49" i="7" s="1"/>
  <c r="AR126" i="7" s="1"/>
  <c r="AR33" i="7"/>
  <c r="AR124" i="7" s="1"/>
  <c r="AP64" i="7"/>
  <c r="AP97" i="7" s="1"/>
  <c r="AP63" i="7"/>
  <c r="AP96" i="7"/>
  <c r="AP169" i="7"/>
  <c r="AF164" i="7"/>
  <c r="AD191" i="7"/>
  <c r="AD178" i="7"/>
  <c r="AQ37" i="7"/>
  <c r="AQ62" i="7"/>
  <c r="AN173" i="7" l="1"/>
  <c r="AN177" i="7"/>
  <c r="AL173" i="7"/>
  <c r="AL177" i="7"/>
  <c r="AL219" i="7" s="1"/>
  <c r="AK219" i="7"/>
  <c r="AE177" i="7"/>
  <c r="AE219" i="7" s="1"/>
  <c r="BD211" i="7"/>
  <c r="BE214" i="7"/>
  <c r="BE215" i="7" s="1"/>
  <c r="L200" i="7"/>
  <c r="K200" i="7"/>
  <c r="AE164" i="7"/>
  <c r="K201" i="7"/>
  <c r="L201" i="7"/>
  <c r="L199" i="7"/>
  <c r="K199" i="7"/>
  <c r="K171" i="7"/>
  <c r="L171" i="7"/>
  <c r="BE198" i="7"/>
  <c r="AO117" i="7"/>
  <c r="AO157" i="7" s="1"/>
  <c r="AO161" i="7" s="1"/>
  <c r="AO258" i="7" s="1"/>
  <c r="AP115" i="7"/>
  <c r="AP155" i="7" s="1"/>
  <c r="AP131" i="7"/>
  <c r="AP116" i="7"/>
  <c r="AP156" i="7" s="1"/>
  <c r="AP132" i="7"/>
  <c r="AO133" i="7"/>
  <c r="AR149" i="7"/>
  <c r="AR150" i="7"/>
  <c r="AP148" i="7"/>
  <c r="AP147" i="7"/>
  <c r="AQ125" i="7"/>
  <c r="AQ135" i="7"/>
  <c r="AP136" i="7"/>
  <c r="BE83" i="7"/>
  <c r="BE170" i="7" s="1"/>
  <c r="AM160" i="7"/>
  <c r="AM159" i="7" s="1"/>
  <c r="AM163" i="7" s="1"/>
  <c r="AP88" i="7"/>
  <c r="AP138" i="7" s="1"/>
  <c r="AP89" i="7"/>
  <c r="AP139" i="7" s="1"/>
  <c r="AQ91" i="7"/>
  <c r="AQ141" i="7" s="1"/>
  <c r="AQ92" i="7"/>
  <c r="AQ142" i="7" s="1"/>
  <c r="AQ87" i="7"/>
  <c r="AQ137" i="7" s="1"/>
  <c r="AQ90" i="7"/>
  <c r="AQ140" i="7" s="1"/>
  <c r="AP166" i="7"/>
  <c r="AO78" i="7"/>
  <c r="AO165" i="7"/>
  <c r="AO226" i="7"/>
  <c r="AO227" i="7" s="1"/>
  <c r="AO197" i="7"/>
  <c r="AQ96" i="7"/>
  <c r="AQ64" i="7"/>
  <c r="AQ97" i="7" s="1"/>
  <c r="AQ63" i="7"/>
  <c r="AQ169" i="7"/>
  <c r="AU25" i="7"/>
  <c r="AU27" i="7" s="1"/>
  <c r="AT123" i="7"/>
  <c r="AR37" i="7"/>
  <c r="AR62" i="7"/>
  <c r="AF191" i="7"/>
  <c r="AF178" i="7"/>
  <c r="AP167" i="7"/>
  <c r="AS45" i="7"/>
  <c r="AS49" i="7" s="1"/>
  <c r="AS126" i="7" s="1"/>
  <c r="AS33" i="7"/>
  <c r="AS124" i="7" s="1"/>
  <c r="AL178" i="7" l="1"/>
  <c r="AL191" i="7"/>
  <c r="AM173" i="7"/>
  <c r="AM177" i="7"/>
  <c r="AM219" i="7" s="1"/>
  <c r="AN219" i="7"/>
  <c r="AN191" i="7"/>
  <c r="AN178" i="7"/>
  <c r="AE191" i="7"/>
  <c r="AE178" i="7"/>
  <c r="AO164" i="7"/>
  <c r="BE211" i="7"/>
  <c r="L198" i="7"/>
  <c r="L197" i="7" s="1"/>
  <c r="AQ136" i="7"/>
  <c r="K198" i="7"/>
  <c r="K197" i="7" s="1"/>
  <c r="L170" i="7"/>
  <c r="K170" i="7"/>
  <c r="AP117" i="7"/>
  <c r="AP157" i="7" s="1"/>
  <c r="AP161" i="7" s="1"/>
  <c r="AP258" i="7" s="1"/>
  <c r="AQ116" i="7"/>
  <c r="AQ156" i="7" s="1"/>
  <c r="AQ132" i="7"/>
  <c r="AQ115" i="7"/>
  <c r="AQ155" i="7" s="1"/>
  <c r="AQ131" i="7"/>
  <c r="AP133" i="7"/>
  <c r="AQ148" i="7"/>
  <c r="AQ147" i="7"/>
  <c r="AS149" i="7"/>
  <c r="AS150" i="7"/>
  <c r="AR125" i="7"/>
  <c r="AR135" i="7"/>
  <c r="AR92" i="7"/>
  <c r="AR142" i="7" s="1"/>
  <c r="AR90" i="7"/>
  <c r="AR140" i="7" s="1"/>
  <c r="AR87" i="7"/>
  <c r="AR137" i="7" s="1"/>
  <c r="AR91" i="7"/>
  <c r="AR141" i="7" s="1"/>
  <c r="AQ88" i="7"/>
  <c r="AQ138" i="7" s="1"/>
  <c r="AQ89" i="7"/>
  <c r="AQ139" i="7" s="1"/>
  <c r="AO175" i="7"/>
  <c r="AO154" i="7"/>
  <c r="AQ166" i="7"/>
  <c r="AP78" i="7"/>
  <c r="AR96" i="7"/>
  <c r="AR64" i="7"/>
  <c r="AR97" i="7" s="1"/>
  <c r="AR63" i="7"/>
  <c r="AT33" i="7"/>
  <c r="AT124" i="7" s="1"/>
  <c r="AT45" i="7"/>
  <c r="AT49" i="7" s="1"/>
  <c r="AT126" i="7" s="1"/>
  <c r="AR169" i="7"/>
  <c r="AV25" i="7"/>
  <c r="AV27" i="7" s="1"/>
  <c r="AU123" i="7"/>
  <c r="AP165" i="7"/>
  <c r="AQ167" i="7"/>
  <c r="AS37" i="7"/>
  <c r="AS62" i="7"/>
  <c r="AP226" i="7"/>
  <c r="AP227" i="7" s="1"/>
  <c r="AP197" i="7"/>
  <c r="AM178" i="7" l="1"/>
  <c r="AM191" i="7"/>
  <c r="AP164" i="7"/>
  <c r="AQ117" i="7"/>
  <c r="AQ157" i="7" s="1"/>
  <c r="AQ161" i="7" s="1"/>
  <c r="AQ258" i="7" s="1"/>
  <c r="AR116" i="7"/>
  <c r="AR156" i="7" s="1"/>
  <c r="AR132" i="7"/>
  <c r="AQ133" i="7"/>
  <c r="AR115" i="7"/>
  <c r="AR155" i="7" s="1"/>
  <c r="AR131" i="7"/>
  <c r="AT150" i="7"/>
  <c r="AT149" i="7"/>
  <c r="AR147" i="7"/>
  <c r="AR148" i="7"/>
  <c r="AR136" i="7"/>
  <c r="AS125" i="7"/>
  <c r="AS135" i="7"/>
  <c r="AO160" i="7"/>
  <c r="AO159" i="7" s="1"/>
  <c r="AO163" i="7" s="1"/>
  <c r="AS92" i="7"/>
  <c r="AS142" i="7" s="1"/>
  <c r="AS90" i="7"/>
  <c r="AS140" i="7" s="1"/>
  <c r="AS87" i="7"/>
  <c r="AS137" i="7" s="1"/>
  <c r="AS91" i="7"/>
  <c r="AS141" i="7" s="1"/>
  <c r="AR89" i="7"/>
  <c r="AR139" i="7" s="1"/>
  <c r="AR88" i="7"/>
  <c r="AR138" i="7" s="1"/>
  <c r="AP175" i="7"/>
  <c r="AP154" i="7"/>
  <c r="AR166" i="7"/>
  <c r="AQ78" i="7"/>
  <c r="AQ165" i="7"/>
  <c r="AS169" i="7"/>
  <c r="AQ226" i="7"/>
  <c r="AQ227" i="7" s="1"/>
  <c r="AQ197" i="7"/>
  <c r="AU45" i="7"/>
  <c r="AU49" i="7" s="1"/>
  <c r="AU126" i="7" s="1"/>
  <c r="AU33" i="7"/>
  <c r="AU124" i="7" s="1"/>
  <c r="AW25" i="7"/>
  <c r="AW27" i="7" s="1"/>
  <c r="AV123" i="7"/>
  <c r="AT37" i="7"/>
  <c r="AT62" i="7"/>
  <c r="AS96" i="7"/>
  <c r="AS63" i="7"/>
  <c r="AS64" i="7"/>
  <c r="AS97" i="7" s="1"/>
  <c r="AR167" i="7"/>
  <c r="AO173" i="7" l="1"/>
  <c r="AO177" i="7"/>
  <c r="AO219" i="7" s="1"/>
  <c r="AQ164" i="7"/>
  <c r="AR117" i="7"/>
  <c r="AR157" i="7" s="1"/>
  <c r="AR161" i="7" s="1"/>
  <c r="AR258" i="7" s="1"/>
  <c r="AR133" i="7"/>
  <c r="AS115" i="7"/>
  <c r="AS155" i="7" s="1"/>
  <c r="AS131" i="7"/>
  <c r="AS116" i="7"/>
  <c r="AS156" i="7" s="1"/>
  <c r="AS132" i="7"/>
  <c r="AU149" i="7"/>
  <c r="AU150" i="7"/>
  <c r="AS148" i="7"/>
  <c r="AS147" i="7"/>
  <c r="AS136" i="7"/>
  <c r="AT125" i="7"/>
  <c r="AT135" i="7"/>
  <c r="AP160" i="7"/>
  <c r="AP159" i="7" s="1"/>
  <c r="AP163" i="7" s="1"/>
  <c r="AT91" i="7"/>
  <c r="AT141" i="7" s="1"/>
  <c r="AT92" i="7"/>
  <c r="AT142" i="7" s="1"/>
  <c r="AT87" i="7"/>
  <c r="AT137" i="7" s="1"/>
  <c r="AT90" i="7"/>
  <c r="AT140" i="7" s="1"/>
  <c r="AS89" i="7"/>
  <c r="AS139" i="7" s="1"/>
  <c r="AS88" i="7"/>
  <c r="AS138" i="7" s="1"/>
  <c r="AQ154" i="7"/>
  <c r="AQ175" i="7"/>
  <c r="AS166" i="7"/>
  <c r="AR78" i="7"/>
  <c r="AR197" i="7"/>
  <c r="AR226" i="7"/>
  <c r="AR227" i="7" s="1"/>
  <c r="AV33" i="7"/>
  <c r="AV124" i="7" s="1"/>
  <c r="AV45" i="7"/>
  <c r="AV49" i="7" s="1"/>
  <c r="AV126" i="7" s="1"/>
  <c r="AS167" i="7"/>
  <c r="AT169" i="7"/>
  <c r="AW123" i="7"/>
  <c r="AX25" i="7"/>
  <c r="AX27" i="7" s="1"/>
  <c r="AR165" i="7"/>
  <c r="AT96" i="7"/>
  <c r="AT64" i="7"/>
  <c r="AT97" i="7" s="1"/>
  <c r="AT63" i="7"/>
  <c r="AU37" i="7"/>
  <c r="AU62" i="7"/>
  <c r="AO191" i="7" l="1"/>
  <c r="AO178" i="7"/>
  <c r="AP173" i="7"/>
  <c r="AP177" i="7"/>
  <c r="AP219" i="7" s="1"/>
  <c r="AR164" i="7"/>
  <c r="AS117" i="7"/>
  <c r="AS157" i="7" s="1"/>
  <c r="AS161" i="7" s="1"/>
  <c r="AS258" i="7" s="1"/>
  <c r="AS133" i="7"/>
  <c r="AT116" i="7"/>
  <c r="AT156" i="7" s="1"/>
  <c r="AT132" i="7"/>
  <c r="AT115" i="7"/>
  <c r="AT155" i="7" s="1"/>
  <c r="AT131" i="7"/>
  <c r="AT136" i="7"/>
  <c r="AT147" i="7"/>
  <c r="AT148" i="7"/>
  <c r="AV149" i="7"/>
  <c r="AV150" i="7"/>
  <c r="AU125" i="7"/>
  <c r="AU135" i="7"/>
  <c r="AQ160" i="7"/>
  <c r="AQ159" i="7" s="1"/>
  <c r="AQ163" i="7" s="1"/>
  <c r="AU87" i="7"/>
  <c r="AU137" i="7" s="1"/>
  <c r="AU90" i="7"/>
  <c r="AU140" i="7" s="1"/>
  <c r="AU91" i="7"/>
  <c r="AU141" i="7" s="1"/>
  <c r="AU92" i="7"/>
  <c r="AU142" i="7" s="1"/>
  <c r="AT88" i="7"/>
  <c r="AT138" i="7" s="1"/>
  <c r="AT89" i="7"/>
  <c r="AT139" i="7" s="1"/>
  <c r="AR175" i="7"/>
  <c r="AR154" i="7"/>
  <c r="AS78" i="7"/>
  <c r="AT166" i="7"/>
  <c r="AX123" i="7"/>
  <c r="AY25" i="7"/>
  <c r="AY27" i="7" s="1"/>
  <c r="AU96" i="7"/>
  <c r="AU64" i="7"/>
  <c r="AU97" i="7" s="1"/>
  <c r="AU63" i="7"/>
  <c r="AS165" i="7"/>
  <c r="AU169" i="7"/>
  <c r="AT167" i="7"/>
  <c r="AS197" i="7"/>
  <c r="AS226" i="7"/>
  <c r="AS227" i="7" s="1"/>
  <c r="AW33" i="7"/>
  <c r="AW124" i="7" s="1"/>
  <c r="AW45" i="7"/>
  <c r="AW49" i="7" s="1"/>
  <c r="AW126" i="7" s="1"/>
  <c r="AV37" i="7"/>
  <c r="AV62" i="7"/>
  <c r="AP191" i="7" l="1"/>
  <c r="AP178" i="7"/>
  <c r="AQ173" i="7"/>
  <c r="AQ177" i="7"/>
  <c r="AQ219" i="7" s="1"/>
  <c r="AS164" i="7"/>
  <c r="AT117" i="7"/>
  <c r="AT157" i="7" s="1"/>
  <c r="AT161" i="7" s="1"/>
  <c r="AT258" i="7" s="1"/>
  <c r="AU115" i="7"/>
  <c r="AU155" i="7" s="1"/>
  <c r="AU131" i="7"/>
  <c r="AT133" i="7"/>
  <c r="AU116" i="7"/>
  <c r="AU156" i="7" s="1"/>
  <c r="AU132" i="7"/>
  <c r="AU147" i="7"/>
  <c r="AU148" i="7"/>
  <c r="AW149" i="7"/>
  <c r="AW150" i="7"/>
  <c r="AU136" i="7"/>
  <c r="AV125" i="7"/>
  <c r="AV135" i="7"/>
  <c r="AR160" i="7"/>
  <c r="AR159" i="7" s="1"/>
  <c r="AR163" i="7" s="1"/>
  <c r="AU89" i="7"/>
  <c r="AU139" i="7" s="1"/>
  <c r="AU88" i="7"/>
  <c r="AU138" i="7" s="1"/>
  <c r="AV90" i="7"/>
  <c r="AV140" i="7" s="1"/>
  <c r="AV92" i="7"/>
  <c r="AV142" i="7" s="1"/>
  <c r="AV87" i="7"/>
  <c r="AV137" i="7" s="1"/>
  <c r="AV91" i="7"/>
  <c r="AV141" i="7" s="1"/>
  <c r="AS154" i="7"/>
  <c r="AS175" i="7"/>
  <c r="AU166" i="7"/>
  <c r="AT78" i="7"/>
  <c r="AT165" i="7"/>
  <c r="AW37" i="7"/>
  <c r="AW62" i="7"/>
  <c r="AX33" i="7"/>
  <c r="AX124" i="7" s="1"/>
  <c r="AX45" i="7"/>
  <c r="AX49" i="7" s="1"/>
  <c r="AX126" i="7" s="1"/>
  <c r="AT197" i="7"/>
  <c r="AT226" i="7"/>
  <c r="AT227" i="7" s="1"/>
  <c r="AU167" i="7"/>
  <c r="AV169" i="7"/>
  <c r="AV96" i="7"/>
  <c r="AV64" i="7"/>
  <c r="AV97" i="7" s="1"/>
  <c r="AV63" i="7"/>
  <c r="AZ25" i="7"/>
  <c r="AZ27" i="7" s="1"/>
  <c r="AY123" i="7"/>
  <c r="AQ178" i="7" l="1"/>
  <c r="AQ191" i="7"/>
  <c r="AR173" i="7"/>
  <c r="AR177" i="7"/>
  <c r="AR219" i="7" s="1"/>
  <c r="AT164" i="7"/>
  <c r="AU133" i="7"/>
  <c r="AV115" i="7"/>
  <c r="AV155" i="7" s="1"/>
  <c r="AV131" i="7"/>
  <c r="AV116" i="7"/>
  <c r="AV156" i="7" s="1"/>
  <c r="AV132" i="7"/>
  <c r="AU117" i="7"/>
  <c r="AU157" i="7" s="1"/>
  <c r="AU161" i="7" s="1"/>
  <c r="AU258" i="7" s="1"/>
  <c r="AV136" i="7"/>
  <c r="AV147" i="7"/>
  <c r="AV148" i="7"/>
  <c r="AX150" i="7"/>
  <c r="AX149" i="7"/>
  <c r="AW125" i="7"/>
  <c r="AW135" i="7"/>
  <c r="AS160" i="7"/>
  <c r="AS159" i="7" s="1"/>
  <c r="AS163" i="7" s="1"/>
  <c r="AV88" i="7"/>
  <c r="AV138" i="7" s="1"/>
  <c r="AV89" i="7"/>
  <c r="AV139" i="7" s="1"/>
  <c r="AW87" i="7"/>
  <c r="AW137" i="7" s="1"/>
  <c r="AW91" i="7"/>
  <c r="AW141" i="7" s="1"/>
  <c r="AW90" i="7"/>
  <c r="AW140" i="7" s="1"/>
  <c r="AW92" i="7"/>
  <c r="AW142" i="7" s="1"/>
  <c r="AT154" i="7"/>
  <c r="AT175" i="7"/>
  <c r="AU78" i="7"/>
  <c r="AV166" i="7"/>
  <c r="AU165" i="7"/>
  <c r="AZ123" i="7"/>
  <c r="BA25" i="7"/>
  <c r="BA27" i="7" s="1"/>
  <c r="AX37" i="7"/>
  <c r="AX62" i="7"/>
  <c r="AU197" i="7"/>
  <c r="AU226" i="7"/>
  <c r="AU227" i="7" s="1"/>
  <c r="AW169" i="7"/>
  <c r="AW96" i="7"/>
  <c r="AW64" i="7"/>
  <c r="AW97" i="7" s="1"/>
  <c r="AW63" i="7"/>
  <c r="AV167" i="7"/>
  <c r="AY33" i="7"/>
  <c r="AY124" i="7" s="1"/>
  <c r="AY45" i="7"/>
  <c r="AY49" i="7" s="1"/>
  <c r="AY126" i="7" s="1"/>
  <c r="AR178" i="7" l="1"/>
  <c r="AV117" i="7"/>
  <c r="AV157" i="7" s="1"/>
  <c r="AR191" i="7"/>
  <c r="AS173" i="7"/>
  <c r="AS177" i="7"/>
  <c r="AS219" i="7" s="1"/>
  <c r="AU164" i="7"/>
  <c r="AW116" i="7"/>
  <c r="AW156" i="7" s="1"/>
  <c r="AW132" i="7"/>
  <c r="AW115" i="7"/>
  <c r="AW155" i="7" s="1"/>
  <c r="AW131" i="7"/>
  <c r="AV133" i="7"/>
  <c r="AW136" i="7"/>
  <c r="AY149" i="7"/>
  <c r="AY150" i="7"/>
  <c r="AW148" i="7"/>
  <c r="AW147" i="7"/>
  <c r="AX125" i="7"/>
  <c r="AX135" i="7"/>
  <c r="AT160" i="7"/>
  <c r="AT159" i="7" s="1"/>
  <c r="AT163" i="7" s="1"/>
  <c r="AW88" i="7"/>
  <c r="AW138" i="7" s="1"/>
  <c r="AW89" i="7"/>
  <c r="AW139" i="7" s="1"/>
  <c r="AX92" i="7"/>
  <c r="AX142" i="7" s="1"/>
  <c r="AX90" i="7"/>
  <c r="AX140" i="7" s="1"/>
  <c r="AX91" i="7"/>
  <c r="AX141" i="7" s="1"/>
  <c r="AX87" i="7"/>
  <c r="AX137" i="7" s="1"/>
  <c r="AU154" i="7"/>
  <c r="AU175" i="7"/>
  <c r="AV161" i="7"/>
  <c r="AV258" i="7" s="1"/>
  <c r="AV78" i="7"/>
  <c r="AW166" i="7"/>
  <c r="AV165" i="7"/>
  <c r="AX169" i="7"/>
  <c r="AY37" i="7"/>
  <c r="AY62" i="7"/>
  <c r="AW167" i="7"/>
  <c r="BB25" i="7"/>
  <c r="BB27" i="7" s="1"/>
  <c r="BA123" i="7"/>
  <c r="AX64" i="7"/>
  <c r="AX97" i="7" s="1"/>
  <c r="AX63" i="7"/>
  <c r="AX96" i="7"/>
  <c r="AV226" i="7"/>
  <c r="AV227" i="7" s="1"/>
  <c r="AV197" i="7"/>
  <c r="AZ45" i="7"/>
  <c r="AZ49" i="7" s="1"/>
  <c r="AZ126" i="7" s="1"/>
  <c r="AZ33" i="7"/>
  <c r="AZ124" i="7" s="1"/>
  <c r="AS178" i="7" l="1"/>
  <c r="AS191" i="7"/>
  <c r="AT173" i="7"/>
  <c r="AT177" i="7"/>
  <c r="AT219" i="7" s="1"/>
  <c r="AV164" i="7"/>
  <c r="AT191" i="7"/>
  <c r="AW117" i="7"/>
  <c r="AW157" i="7" s="1"/>
  <c r="AW161" i="7" s="1"/>
  <c r="AW258" i="7" s="1"/>
  <c r="AW133" i="7"/>
  <c r="AX116" i="7"/>
  <c r="AX156" i="7" s="1"/>
  <c r="AX132" i="7"/>
  <c r="AX115" i="7"/>
  <c r="AX155" i="7" s="1"/>
  <c r="AX131" i="7"/>
  <c r="AX136" i="7"/>
  <c r="AZ149" i="7"/>
  <c r="AZ150" i="7"/>
  <c r="AX147" i="7"/>
  <c r="AX148" i="7"/>
  <c r="AY125" i="7"/>
  <c r="AY135" i="7"/>
  <c r="AU160" i="7"/>
  <c r="AU159" i="7" s="1"/>
  <c r="AU163" i="7" s="1"/>
  <c r="AX88" i="7"/>
  <c r="AX138" i="7" s="1"/>
  <c r="AX89" i="7"/>
  <c r="AX139" i="7" s="1"/>
  <c r="AY91" i="7"/>
  <c r="AY141" i="7" s="1"/>
  <c r="AY87" i="7"/>
  <c r="AY137" i="7" s="1"/>
  <c r="AY92" i="7"/>
  <c r="AY142" i="7" s="1"/>
  <c r="AY90" i="7"/>
  <c r="AY140" i="7" s="1"/>
  <c r="AV154" i="7"/>
  <c r="AV175" i="7"/>
  <c r="AW78" i="7"/>
  <c r="AX166" i="7"/>
  <c r="AW165" i="7"/>
  <c r="AW226" i="7"/>
  <c r="AW227" i="7" s="1"/>
  <c r="AW197" i="7"/>
  <c r="AZ37" i="7"/>
  <c r="AZ62" i="7"/>
  <c r="AX167" i="7"/>
  <c r="BA33" i="7"/>
  <c r="BA124" i="7" s="1"/>
  <c r="BA45" i="7"/>
  <c r="BA49" i="7" s="1"/>
  <c r="BA126" i="7" s="1"/>
  <c r="AY63" i="7"/>
  <c r="AY96" i="7"/>
  <c r="AY64" i="7"/>
  <c r="AY97" i="7" s="1"/>
  <c r="AY169" i="7"/>
  <c r="BC25" i="7"/>
  <c r="BC27" i="7" s="1"/>
  <c r="BB123" i="7"/>
  <c r="AX117" i="7" l="1"/>
  <c r="AX157" i="7" s="1"/>
  <c r="AT178" i="7"/>
  <c r="AU173" i="7"/>
  <c r="AU177" i="7"/>
  <c r="AU219" i="7" s="1"/>
  <c r="AW164" i="7"/>
  <c r="AY116" i="7"/>
  <c r="AY156" i="7" s="1"/>
  <c r="AY132" i="7"/>
  <c r="AX133" i="7"/>
  <c r="AY115" i="7"/>
  <c r="AY155" i="7" s="1"/>
  <c r="AY131" i="7"/>
  <c r="BA150" i="7"/>
  <c r="BA149" i="7"/>
  <c r="AY147" i="7"/>
  <c r="AY148" i="7"/>
  <c r="AY136" i="7"/>
  <c r="AZ125" i="7"/>
  <c r="AZ135" i="7"/>
  <c r="AV160" i="7"/>
  <c r="AV159" i="7" s="1"/>
  <c r="AV163" i="7" s="1"/>
  <c r="AZ92" i="7"/>
  <c r="AZ142" i="7" s="1"/>
  <c r="AZ90" i="7"/>
  <c r="AZ140" i="7" s="1"/>
  <c r="AZ91" i="7"/>
  <c r="AZ141" i="7" s="1"/>
  <c r="AZ87" i="7"/>
  <c r="AZ137" i="7" s="1"/>
  <c r="AY89" i="7"/>
  <c r="AY139" i="7" s="1"/>
  <c r="AY88" i="7"/>
  <c r="AY138" i="7" s="1"/>
  <c r="AW175" i="7"/>
  <c r="AW154" i="7"/>
  <c r="AX161" i="7"/>
  <c r="AX258" i="7" s="1"/>
  <c r="AY166" i="7"/>
  <c r="AX78" i="7"/>
  <c r="BB33" i="7"/>
  <c r="BB124" i="7" s="1"/>
  <c r="BB45" i="7"/>
  <c r="BB49" i="7" s="1"/>
  <c r="BB126" i="7" s="1"/>
  <c r="AX165" i="7"/>
  <c r="AZ96" i="7"/>
  <c r="AZ63" i="7"/>
  <c r="AZ64" i="7"/>
  <c r="AZ97" i="7" s="1"/>
  <c r="BD25" i="7"/>
  <c r="BD27" i="7" s="1"/>
  <c r="BC123" i="7"/>
  <c r="AZ169" i="7"/>
  <c r="AX226" i="7"/>
  <c r="AX227" i="7" s="1"/>
  <c r="AX197" i="7"/>
  <c r="BA37" i="7"/>
  <c r="BA62" i="7"/>
  <c r="AY167" i="7"/>
  <c r="AU178" i="7" l="1"/>
  <c r="AU191" i="7"/>
  <c r="AV173" i="7"/>
  <c r="AV177" i="7" s="1"/>
  <c r="AV219" i="7" s="1"/>
  <c r="AY117" i="7"/>
  <c r="AY157" i="7" s="1"/>
  <c r="AY161" i="7" s="1"/>
  <c r="AY258" i="7" s="1"/>
  <c r="AX164" i="7"/>
  <c r="AY133" i="7"/>
  <c r="AZ116" i="7"/>
  <c r="AZ156" i="7" s="1"/>
  <c r="AZ132" i="7"/>
  <c r="AZ115" i="7"/>
  <c r="AZ155" i="7" s="1"/>
  <c r="AZ131" i="7"/>
  <c r="AZ148" i="7"/>
  <c r="AZ147" i="7"/>
  <c r="BB150" i="7"/>
  <c r="BB149" i="7"/>
  <c r="BA125" i="7"/>
  <c r="BA135" i="7"/>
  <c r="AZ136" i="7"/>
  <c r="AW160" i="7"/>
  <c r="AW159" i="7" s="1"/>
  <c r="AW163" i="7" s="1"/>
  <c r="BA92" i="7"/>
  <c r="BA142" i="7" s="1"/>
  <c r="BA90" i="7"/>
  <c r="BA140" i="7" s="1"/>
  <c r="BA87" i="7"/>
  <c r="BA137" i="7" s="1"/>
  <c r="BA91" i="7"/>
  <c r="BA141" i="7" s="1"/>
  <c r="AZ88" i="7"/>
  <c r="AZ138" i="7" s="1"/>
  <c r="AZ89" i="7"/>
  <c r="AZ139" i="7" s="1"/>
  <c r="AX175" i="7"/>
  <c r="AX154" i="7"/>
  <c r="AZ166" i="7"/>
  <c r="AY78" i="7"/>
  <c r="BB37" i="7"/>
  <c r="BB62" i="7"/>
  <c r="BC45" i="7"/>
  <c r="BC49" i="7" s="1"/>
  <c r="BC126" i="7" s="1"/>
  <c r="BC33" i="7"/>
  <c r="BC124" i="7" s="1"/>
  <c r="BE25" i="7"/>
  <c r="BE27" i="7" s="1"/>
  <c r="BD123" i="7"/>
  <c r="BA96" i="7"/>
  <c r="BA63" i="7"/>
  <c r="BA64" i="7"/>
  <c r="BA97" i="7" s="1"/>
  <c r="AZ167" i="7"/>
  <c r="AY165" i="7"/>
  <c r="AY226" i="7"/>
  <c r="AY227" i="7" s="1"/>
  <c r="AY197" i="7"/>
  <c r="BA169" i="7"/>
  <c r="AV191" i="7" l="1"/>
  <c r="AV178" i="7"/>
  <c r="AW173" i="7"/>
  <c r="AW177" i="7"/>
  <c r="AW219" i="7" s="1"/>
  <c r="AY164" i="7"/>
  <c r="AZ133" i="7"/>
  <c r="BA115" i="7"/>
  <c r="BA155" i="7" s="1"/>
  <c r="BA131" i="7"/>
  <c r="BA116" i="7"/>
  <c r="BA156" i="7" s="1"/>
  <c r="BA132" i="7"/>
  <c r="AZ117" i="7"/>
  <c r="AZ157" i="7" s="1"/>
  <c r="AZ161" i="7" s="1"/>
  <c r="AZ258" i="7" s="1"/>
  <c r="BA147" i="7"/>
  <c r="BA148" i="7"/>
  <c r="BC149" i="7"/>
  <c r="BC150" i="7"/>
  <c r="BB125" i="7"/>
  <c r="BB135" i="7"/>
  <c r="BA136" i="7"/>
  <c r="AX160" i="7"/>
  <c r="AX159" i="7" s="1"/>
  <c r="AX163" i="7" s="1"/>
  <c r="BB90" i="7"/>
  <c r="BB140" i="7" s="1"/>
  <c r="BB87" i="7"/>
  <c r="BB137" i="7" s="1"/>
  <c r="BB91" i="7"/>
  <c r="BB141" i="7" s="1"/>
  <c r="BB92" i="7"/>
  <c r="BB142" i="7" s="1"/>
  <c r="BA89" i="7"/>
  <c r="BA139" i="7" s="1"/>
  <c r="BA88" i="7"/>
  <c r="BA138" i="7" s="1"/>
  <c r="AY154" i="7"/>
  <c r="AY175" i="7"/>
  <c r="BA166" i="7"/>
  <c r="AZ78" i="7"/>
  <c r="AZ165" i="7"/>
  <c r="BA167" i="7"/>
  <c r="BB64" i="7"/>
  <c r="BB97" i="7" s="1"/>
  <c r="BB63" i="7"/>
  <c r="BB96" i="7"/>
  <c r="BB169" i="7"/>
  <c r="BD45" i="7"/>
  <c r="BD49" i="7" s="1"/>
  <c r="BD126" i="7" s="1"/>
  <c r="BD33" i="7"/>
  <c r="BD124" i="7" s="1"/>
  <c r="AZ197" i="7"/>
  <c r="AZ226" i="7"/>
  <c r="AZ227" i="7" s="1"/>
  <c r="BE123" i="7"/>
  <c r="BC37" i="7"/>
  <c r="BC62" i="7"/>
  <c r="BA117" i="7" l="1"/>
  <c r="BA157" i="7" s="1"/>
  <c r="AW178" i="7"/>
  <c r="AW191" i="7"/>
  <c r="AX173" i="7"/>
  <c r="AX177" i="7"/>
  <c r="AX219" i="7" s="1"/>
  <c r="AZ164" i="7"/>
  <c r="BB116" i="7"/>
  <c r="BB156" i="7" s="1"/>
  <c r="BB132" i="7"/>
  <c r="BA133" i="7"/>
  <c r="BB115" i="7"/>
  <c r="BB155" i="7" s="1"/>
  <c r="BB131" i="7"/>
  <c r="BB147" i="7"/>
  <c r="BB148" i="7"/>
  <c r="BD150" i="7"/>
  <c r="BD149" i="7"/>
  <c r="BB136" i="7"/>
  <c r="BC125" i="7"/>
  <c r="BC135" i="7"/>
  <c r="AY160" i="7"/>
  <c r="AY159" i="7" s="1"/>
  <c r="AY163" i="7" s="1"/>
  <c r="BB88" i="7"/>
  <c r="BB138" i="7" s="1"/>
  <c r="BB89" i="7"/>
  <c r="BB139" i="7" s="1"/>
  <c r="BC87" i="7"/>
  <c r="BC137" i="7" s="1"/>
  <c r="BC91" i="7"/>
  <c r="BC141" i="7" s="1"/>
  <c r="BC92" i="7"/>
  <c r="BC142" i="7" s="1"/>
  <c r="BC90" i="7"/>
  <c r="BC140" i="7" s="1"/>
  <c r="AZ154" i="7"/>
  <c r="AZ175" i="7"/>
  <c r="BA161" i="7"/>
  <c r="BA258" i="7" s="1"/>
  <c r="BB166" i="7"/>
  <c r="BA78" i="7"/>
  <c r="BA165" i="7"/>
  <c r="BA197" i="7"/>
  <c r="BA226" i="7"/>
  <c r="BA227" i="7" s="1"/>
  <c r="BC96" i="7"/>
  <c r="BC64" i="7"/>
  <c r="BC97" i="7" s="1"/>
  <c r="BC63" i="7"/>
  <c r="BB167" i="7"/>
  <c r="BC169" i="7"/>
  <c r="BD37" i="7"/>
  <c r="BD62" i="7"/>
  <c r="BE33" i="7"/>
  <c r="BE124" i="7" s="1"/>
  <c r="BE45" i="7"/>
  <c r="BE49" i="7" s="1"/>
  <c r="BE126" i="7" s="1"/>
  <c r="AX178" i="7" l="1"/>
  <c r="AX191" i="7"/>
  <c r="AY173" i="7"/>
  <c r="AY177" i="7"/>
  <c r="AY219" i="7" s="1"/>
  <c r="BA164" i="7"/>
  <c r="BB117" i="7"/>
  <c r="BB157" i="7" s="1"/>
  <c r="BB161" i="7" s="1"/>
  <c r="BB258" i="7" s="1"/>
  <c r="BB133" i="7"/>
  <c r="BC116" i="7"/>
  <c r="BC156" i="7" s="1"/>
  <c r="BC132" i="7"/>
  <c r="BC115" i="7"/>
  <c r="BC155" i="7" s="1"/>
  <c r="BC131" i="7"/>
  <c r="BE149" i="7"/>
  <c r="BE150" i="7"/>
  <c r="BC147" i="7"/>
  <c r="BC148" i="7"/>
  <c r="BC136" i="7"/>
  <c r="BD125" i="7"/>
  <c r="BD135" i="7"/>
  <c r="AZ160" i="7"/>
  <c r="AZ159" i="7" s="1"/>
  <c r="AZ163" i="7" s="1"/>
  <c r="BD90" i="7"/>
  <c r="BD140" i="7" s="1"/>
  <c r="BD91" i="7"/>
  <c r="BD141" i="7" s="1"/>
  <c r="BD92" i="7"/>
  <c r="BD142" i="7" s="1"/>
  <c r="BD87" i="7"/>
  <c r="BD137" i="7" s="1"/>
  <c r="BC89" i="7"/>
  <c r="BC139" i="7" s="1"/>
  <c r="BC88" i="7"/>
  <c r="BC138" i="7" s="1"/>
  <c r="BA175" i="7"/>
  <c r="BA154" i="7"/>
  <c r="BC166" i="7"/>
  <c r="BB78" i="7"/>
  <c r="BB165" i="7"/>
  <c r="BD64" i="7"/>
  <c r="BD97" i="7" s="1"/>
  <c r="BD63" i="7"/>
  <c r="BD96" i="7"/>
  <c r="BB197" i="7"/>
  <c r="BB226" i="7"/>
  <c r="BB227" i="7" s="1"/>
  <c r="BD169" i="7"/>
  <c r="BE37" i="7"/>
  <c r="BE62" i="7"/>
  <c r="BC167" i="7"/>
  <c r="AY191" i="7" l="1"/>
  <c r="AY178" i="7"/>
  <c r="AZ173" i="7"/>
  <c r="AZ177" i="7" s="1"/>
  <c r="BB164" i="7"/>
  <c r="BC133" i="7"/>
  <c r="BC117" i="7"/>
  <c r="BC157" i="7" s="1"/>
  <c r="BC161" i="7" s="1"/>
  <c r="BC258" i="7" s="1"/>
  <c r="BD116" i="7"/>
  <c r="BD156" i="7" s="1"/>
  <c r="BD132" i="7"/>
  <c r="BD115" i="7"/>
  <c r="BD155" i="7" s="1"/>
  <c r="BD131" i="7"/>
  <c r="BD147" i="7"/>
  <c r="BD148" i="7"/>
  <c r="BD136" i="7"/>
  <c r="BE125" i="7"/>
  <c r="BE135" i="7"/>
  <c r="BA160" i="7"/>
  <c r="BA159" i="7" s="1"/>
  <c r="BA163" i="7" s="1"/>
  <c r="BE91" i="7"/>
  <c r="BE141" i="7" s="1"/>
  <c r="BE87" i="7"/>
  <c r="BE137" i="7" s="1"/>
  <c r="BE92" i="7"/>
  <c r="BE142" i="7" s="1"/>
  <c r="BE90" i="7"/>
  <c r="BE140" i="7" s="1"/>
  <c r="BD89" i="7"/>
  <c r="BD139" i="7" s="1"/>
  <c r="BD88" i="7"/>
  <c r="BD138" i="7" s="1"/>
  <c r="BB175" i="7"/>
  <c r="BB154" i="7"/>
  <c r="BD166" i="7"/>
  <c r="BC78" i="7"/>
  <c r="BC165" i="7"/>
  <c r="BD167" i="7"/>
  <c r="BE96" i="7"/>
  <c r="BE64" i="7"/>
  <c r="BE97" i="7" s="1"/>
  <c r="BE63" i="7"/>
  <c r="BE169" i="7"/>
  <c r="BC197" i="7"/>
  <c r="BC226" i="7"/>
  <c r="BC227" i="7" s="1"/>
  <c r="AZ219" i="7" l="1"/>
  <c r="AZ191" i="7"/>
  <c r="AZ178" i="7"/>
  <c r="BA173" i="7"/>
  <c r="BA177" i="7"/>
  <c r="BA178" i="7" s="1"/>
  <c r="BC164" i="7"/>
  <c r="K169" i="7"/>
  <c r="L169" i="7"/>
  <c r="BD117" i="7"/>
  <c r="BD157" i="7" s="1"/>
  <c r="BD161" i="7" s="1"/>
  <c r="BD258" i="7" s="1"/>
  <c r="BD133" i="7"/>
  <c r="BE116" i="7"/>
  <c r="BE156" i="7" s="1"/>
  <c r="BE132" i="7"/>
  <c r="BE115" i="7"/>
  <c r="BE155" i="7" s="1"/>
  <c r="BE131" i="7"/>
  <c r="BE136" i="7"/>
  <c r="BE147" i="7"/>
  <c r="BE148" i="7"/>
  <c r="BB160" i="7"/>
  <c r="BB159" i="7" s="1"/>
  <c r="BB163" i="7" s="1"/>
  <c r="BE88" i="7"/>
  <c r="BE138" i="7" s="1"/>
  <c r="BE89" i="7"/>
  <c r="BE139" i="7" s="1"/>
  <c r="BC175" i="7"/>
  <c r="BC154" i="7"/>
  <c r="BE166" i="7"/>
  <c r="BD78" i="7"/>
  <c r="BD165" i="7"/>
  <c r="BE167" i="7"/>
  <c r="BD226" i="7"/>
  <c r="BD227" i="7" s="1"/>
  <c r="BD197" i="7"/>
  <c r="BA191" i="7" l="1"/>
  <c r="BB173" i="7"/>
  <c r="BB177" i="7"/>
  <c r="BB178" i="7" s="1"/>
  <c r="BA219" i="7"/>
  <c r="BD164" i="7"/>
  <c r="K155" i="7"/>
  <c r="L155" i="7"/>
  <c r="L166" i="7"/>
  <c r="K166" i="7"/>
  <c r="K156" i="7"/>
  <c r="L156" i="7"/>
  <c r="K168" i="7"/>
  <c r="K167" i="7"/>
  <c r="L167" i="7"/>
  <c r="BE117" i="7"/>
  <c r="BE157" i="7" s="1"/>
  <c r="BE133" i="7"/>
  <c r="BC160" i="7"/>
  <c r="BC159" i="7" s="1"/>
  <c r="BC163" i="7" s="1"/>
  <c r="BD175" i="7"/>
  <c r="BD154" i="7"/>
  <c r="BE78" i="7"/>
  <c r="BE165" i="7"/>
  <c r="BE226" i="7"/>
  <c r="BE227" i="7" s="1"/>
  <c r="BE197" i="7"/>
  <c r="BB191" i="7" l="1"/>
  <c r="BB219" i="7"/>
  <c r="BC173" i="7"/>
  <c r="BC177" i="7"/>
  <c r="BE164" i="7"/>
  <c r="K165" i="7"/>
  <c r="K164" i="7" s="1"/>
  <c r="L165" i="7"/>
  <c r="L164" i="7" s="1"/>
  <c r="BE161" i="7"/>
  <c r="L157" i="7"/>
  <c r="L154" i="7" s="1"/>
  <c r="K157" i="7"/>
  <c r="K154" i="7" s="1"/>
  <c r="BD160" i="7"/>
  <c r="BD159" i="7" s="1"/>
  <c r="BD163" i="7" s="1"/>
  <c r="BE175" i="7"/>
  <c r="BE154" i="7"/>
  <c r="BE258" i="7" l="1"/>
  <c r="L258" i="7" s="1"/>
  <c r="L255" i="7"/>
  <c r="BC219" i="7"/>
  <c r="BC191" i="7"/>
  <c r="BC178" i="7"/>
  <c r="BD173" i="7"/>
  <c r="BD177" i="7"/>
  <c r="K175" i="7"/>
  <c r="L175" i="7"/>
  <c r="K161" i="7"/>
  <c r="L161" i="7"/>
  <c r="BE160" i="7"/>
  <c r="BD191" i="7" l="1"/>
  <c r="BD219" i="7"/>
  <c r="BD178" i="7"/>
  <c r="BE159" i="7"/>
  <c r="BE163" i="7" s="1"/>
  <c r="K160" i="7"/>
  <c r="K159" i="7" s="1"/>
  <c r="K163" i="7" s="1"/>
  <c r="K177" i="7" s="1"/>
  <c r="L160" i="7"/>
  <c r="L159" i="7" s="1"/>
  <c r="L163" i="7" s="1"/>
  <c r="L177" i="7" s="1"/>
  <c r="BE173" i="7" l="1"/>
  <c r="BE177" i="7"/>
  <c r="BE219" i="7" s="1"/>
  <c r="L191" i="7"/>
  <c r="L178" i="7"/>
  <c r="K178" i="7"/>
  <c r="BE178" i="7" l="1"/>
  <c r="BE191" i="7"/>
  <c r="K191" i="7" s="1"/>
  <c r="L173" i="7"/>
  <c r="K173" i="7"/>
  <c r="AB180" i="7" l="1"/>
  <c r="AB182" i="7" s="1"/>
  <c r="AB184" i="7" s="1"/>
  <c r="AB186" i="7" s="1"/>
  <c r="AB187" i="7" s="1"/>
  <c r="AB228" i="7" a="1"/>
  <c r="AB228" i="7" s="1"/>
  <c r="AB192" i="7" l="1"/>
  <c r="AB193" i="7" s="1"/>
  <c r="AB203" i="7" s="1"/>
  <c r="AB204" i="7" l="1"/>
  <c r="AB216" i="7"/>
  <c r="AB217" i="7" s="1"/>
  <c r="AC180" i="7"/>
  <c r="AC182" i="7" s="1"/>
  <c r="AC184" i="7" s="1"/>
  <c r="BC180" i="7"/>
  <c r="BC182" i="7"/>
  <c r="BC184" i="7" s="1"/>
  <c r="AO180" i="7"/>
  <c r="AO182" i="7" s="1"/>
  <c r="AF180" i="7"/>
  <c r="AF182" i="7" s="1"/>
  <c r="AF184" i="7" s="1"/>
  <c r="AF192" i="7" s="1"/>
  <c r="AF193" i="7" s="1"/>
  <c r="AF203" i="7" s="1"/>
  <c r="AL180" i="7"/>
  <c r="AL182" i="7" s="1"/>
  <c r="AL184" i="7" s="1"/>
  <c r="AL192" i="7" s="1"/>
  <c r="AL193" i="7" s="1"/>
  <c r="AL203" i="7" s="1"/>
  <c r="AM180" i="7"/>
  <c r="AU180" i="7"/>
  <c r="AU182" i="7" s="1"/>
  <c r="AU184" i="7" s="1"/>
  <c r="AU192" i="7" s="1"/>
  <c r="AU193" i="7" s="1"/>
  <c r="AU203" i="7" s="1"/>
  <c r="AW180" i="7"/>
  <c r="AW182" i="7"/>
  <c r="AW184" i="7" s="1"/>
  <c r="AW192" i="7" s="1"/>
  <c r="AW193" i="7" s="1"/>
  <c r="AW203" i="7" s="1"/>
  <c r="AZ180" i="7"/>
  <c r="AZ182" i="7" s="1"/>
  <c r="AH180" i="7"/>
  <c r="AH182" i="7" s="1"/>
  <c r="AH184" i="7" s="1"/>
  <c r="BB180" i="7"/>
  <c r="BB182" i="7" s="1"/>
  <c r="AJ180" i="7"/>
  <c r="AJ182" i="7" s="1"/>
  <c r="AJ184" i="7" s="1"/>
  <c r="AJ192" i="7" s="1"/>
  <c r="AJ193" i="7" s="1"/>
  <c r="AJ203" i="7" s="1"/>
  <c r="AG180" i="7"/>
  <c r="AG182" i="7"/>
  <c r="AG184" i="7" s="1"/>
  <c r="AG192" i="7" s="1"/>
  <c r="AG193" i="7" s="1"/>
  <c r="AG203" i="7" s="1"/>
  <c r="AI180" i="7"/>
  <c r="AI182" i="7"/>
  <c r="AI184" i="7" s="1"/>
  <c r="AI192" i="7" s="1"/>
  <c r="AI193" i="7" s="1"/>
  <c r="AI203" i="7" s="1"/>
  <c r="AR180" i="7"/>
  <c r="AR182" i="7" s="1"/>
  <c r="AR184" i="7" s="1"/>
  <c r="AR192" i="7" s="1"/>
  <c r="AR193" i="7" s="1"/>
  <c r="AR203" i="7" s="1"/>
  <c r="AP180" i="7"/>
  <c r="AP182" i="7"/>
  <c r="AP184" i="7" s="1"/>
  <c r="AP192" i="7" s="1"/>
  <c r="AP193" i="7" s="1"/>
  <c r="AP203" i="7" s="1"/>
  <c r="AE180" i="7"/>
  <c r="AE182" i="7" s="1"/>
  <c r="AX180" i="7"/>
  <c r="AX182" i="7"/>
  <c r="AX184" i="7" s="1"/>
  <c r="AD180" i="7"/>
  <c r="AD182" i="7" s="1"/>
  <c r="AK180" i="7"/>
  <c r="AK182" i="7" s="1"/>
  <c r="AK184" i="7" s="1"/>
  <c r="AK192" i="7" s="1"/>
  <c r="AK193" i="7" s="1"/>
  <c r="AK203" i="7" s="1"/>
  <c r="AS180" i="7"/>
  <c r="AS182" i="7"/>
  <c r="AS184" i="7" s="1"/>
  <c r="AS192" i="7" s="1"/>
  <c r="AS193" i="7" s="1"/>
  <c r="AS203" i="7" s="1"/>
  <c r="AQ180" i="7"/>
  <c r="AQ182" i="7" s="1"/>
  <c r="AY180" i="7"/>
  <c r="AY182" i="7" s="1"/>
  <c r="AY184" i="7" s="1"/>
  <c r="AY192" i="7" s="1"/>
  <c r="AY193" i="7" s="1"/>
  <c r="AY203" i="7" s="1"/>
  <c r="BA180" i="7"/>
  <c r="BA182" i="7" s="1"/>
  <c r="BA184" i="7" s="1"/>
  <c r="BA192" i="7" s="1"/>
  <c r="BA193" i="7" s="1"/>
  <c r="BA203" i="7" s="1"/>
  <c r="AV180" i="7"/>
  <c r="AV182" i="7" s="1"/>
  <c r="BD180" i="7"/>
  <c r="BD182" i="7" s="1"/>
  <c r="BE180" i="7"/>
  <c r="BE182" i="7" s="1"/>
  <c r="AT180" i="7"/>
  <c r="AT182" i="7"/>
  <c r="AN180" i="7"/>
  <c r="AN182" i="7" s="1"/>
  <c r="AN184" i="7" s="1"/>
  <c r="AN192" i="7" s="1"/>
  <c r="AN193" i="7" s="1"/>
  <c r="AN203" i="7" s="1"/>
  <c r="AD228" i="7" a="1"/>
  <c r="AD228" i="7" s="1"/>
  <c r="AH228" i="7" a="1"/>
  <c r="AH228" i="7" s="1"/>
  <c r="AL228" i="7" a="1"/>
  <c r="AL228" i="7" s="1"/>
  <c r="AP228" i="7" a="1"/>
  <c r="AP228" i="7" s="1"/>
  <c r="AT228" i="7" a="1"/>
  <c r="AT228" i="7" s="1"/>
  <c r="AX228" i="7" a="1"/>
  <c r="AX228" i="7" s="1"/>
  <c r="BB228" i="7" a="1"/>
  <c r="BB228" i="7" s="1"/>
  <c r="BC228" i="7" a="1"/>
  <c r="BC228" i="7" s="1"/>
  <c r="AE228" i="7" a="1"/>
  <c r="AE228" i="7" s="1"/>
  <c r="AM228" i="7" a="1"/>
  <c r="AM228" i="7" s="1"/>
  <c r="AU228" i="7" a="1"/>
  <c r="AU228" i="7" s="1"/>
  <c r="AJ228" i="7" a="1"/>
  <c r="AJ228" i="7" s="1"/>
  <c r="AN228" i="7" a="1"/>
  <c r="AN228" i="7" s="1"/>
  <c r="AR228" i="7" a="1"/>
  <c r="AR228" i="7" s="1"/>
  <c r="AV228" i="7" a="1"/>
  <c r="AV228" i="7" s="1"/>
  <c r="BD228" i="7" a="1"/>
  <c r="BD228" i="7" s="1"/>
  <c r="AQ228" i="7" a="1"/>
  <c r="AQ228" i="7" s="1"/>
  <c r="AY228" i="7" a="1"/>
  <c r="AY228" i="7" s="1"/>
  <c r="AF228" i="7" a="1"/>
  <c r="AF228" i="7" s="1"/>
  <c r="AZ228" i="7" a="1"/>
  <c r="AZ228" i="7" s="1"/>
  <c r="AI228" i="7" a="1"/>
  <c r="AI228" i="7" s="1"/>
  <c r="AG228" i="7" a="1"/>
  <c r="AG228" i="7" s="1"/>
  <c r="AO228" i="7" a="1"/>
  <c r="AO228" i="7" s="1"/>
  <c r="AS228" i="7" a="1"/>
  <c r="AS228" i="7" s="1"/>
  <c r="AW228" i="7" a="1"/>
  <c r="AW228" i="7" s="1"/>
  <c r="BA228" i="7" a="1"/>
  <c r="BA228" i="7" s="1"/>
  <c r="BE228" i="7" a="1"/>
  <c r="BE228" i="7" s="1"/>
  <c r="AC228" i="7" a="1"/>
  <c r="AC228" i="7" s="1"/>
  <c r="AK228" i="7" a="1"/>
  <c r="AK228" i="7" s="1"/>
  <c r="AR216" i="7" l="1"/>
  <c r="AN216" i="7"/>
  <c r="AP216" i="7"/>
  <c r="AF216" i="7"/>
  <c r="AW216" i="7"/>
  <c r="AG216" i="7"/>
  <c r="AU216" i="7"/>
  <c r="AK216" i="7"/>
  <c r="BA216" i="7"/>
  <c r="AS216" i="7"/>
  <c r="AI216" i="7"/>
  <c r="AY216" i="7"/>
  <c r="AJ216" i="7"/>
  <c r="AL216" i="7"/>
  <c r="AC186" i="7"/>
  <c r="AC187" i="7" s="1"/>
  <c r="AY186" i="7"/>
  <c r="AY187" i="7" s="1"/>
  <c r="L180" i="7"/>
  <c r="L182" i="7" s="1"/>
  <c r="AF186" i="7"/>
  <c r="AF187" i="7" s="1"/>
  <c r="AU186" i="7"/>
  <c r="AU187" i="7" s="1"/>
  <c r="AK186" i="7"/>
  <c r="AK187" i="7" s="1"/>
  <c r="AT184" i="7"/>
  <c r="AT192" i="7" s="1"/>
  <c r="AT193" i="7" s="1"/>
  <c r="AT203" i="7" s="1"/>
  <c r="AM182" i="7"/>
  <c r="AM184" i="7" s="1"/>
  <c r="AM192" i="7" s="1"/>
  <c r="AM193" i="7" s="1"/>
  <c r="AM203" i="7" s="1"/>
  <c r="AV184" i="7"/>
  <c r="AV192" i="7" s="1"/>
  <c r="AV193" i="7" s="1"/>
  <c r="AV203" i="7" s="1"/>
  <c r="AX192" i="7"/>
  <c r="AX193" i="7" s="1"/>
  <c r="AX203" i="7" s="1"/>
  <c r="AX186" i="7"/>
  <c r="AX187" i="7" s="1"/>
  <c r="BC192" i="7"/>
  <c r="BC193" i="7" s="1"/>
  <c r="BC203" i="7" s="1"/>
  <c r="BC186" i="7"/>
  <c r="BC187" i="7" s="1"/>
  <c r="AP186" i="7"/>
  <c r="AP187" i="7" s="1"/>
  <c r="AN186" i="7"/>
  <c r="AN187" i="7" s="1"/>
  <c r="AE184" i="7"/>
  <c r="AE192" i="7" s="1"/>
  <c r="AE193" i="7" s="1"/>
  <c r="AE203" i="7" s="1"/>
  <c r="AR186" i="7"/>
  <c r="AR187" i="7" s="1"/>
  <c r="K180" i="7"/>
  <c r="K182" i="7" s="1"/>
  <c r="AZ184" i="7"/>
  <c r="AZ192" i="7" s="1"/>
  <c r="AZ193" i="7" s="1"/>
  <c r="AZ203" i="7" s="1"/>
  <c r="AQ184" i="7"/>
  <c r="AQ192" i="7" s="1"/>
  <c r="AQ193" i="7" s="1"/>
  <c r="AQ203" i="7" s="1"/>
  <c r="BB184" i="7"/>
  <c r="BB192" i="7" s="1"/>
  <c r="BB193" i="7" s="1"/>
  <c r="BB203" i="7" s="1"/>
  <c r="BE184" i="7"/>
  <c r="BE192" i="7" s="1"/>
  <c r="BE193" i="7" s="1"/>
  <c r="BE203" i="7" s="1"/>
  <c r="BD184" i="7"/>
  <c r="BD192" i="7" s="1"/>
  <c r="BD193" i="7" s="1"/>
  <c r="BD203" i="7" s="1"/>
  <c r="AS186" i="7"/>
  <c r="AS187" i="7" s="1"/>
  <c r="AD184" i="7"/>
  <c r="AD192" i="7" s="1"/>
  <c r="AD193" i="7" s="1"/>
  <c r="AD203" i="7" s="1"/>
  <c r="AH192" i="7"/>
  <c r="AH193" i="7" s="1"/>
  <c r="AH203" i="7" s="1"/>
  <c r="AH186" i="7"/>
  <c r="AH187" i="7" s="1"/>
  <c r="AL186" i="7"/>
  <c r="AL187" i="7" s="1"/>
  <c r="AO184" i="7"/>
  <c r="AO192" i="7" s="1"/>
  <c r="AO193" i="7" s="1"/>
  <c r="AO203" i="7" s="1"/>
  <c r="AG186" i="7"/>
  <c r="AG187" i="7" s="1"/>
  <c r="AC192" i="7"/>
  <c r="BA186" i="7"/>
  <c r="BA187" i="7" s="1"/>
  <c r="AJ186" i="7"/>
  <c r="AJ187" i="7" s="1"/>
  <c r="AW186" i="7"/>
  <c r="AW187" i="7" s="1"/>
  <c r="AI186" i="7"/>
  <c r="AI187" i="7" s="1"/>
  <c r="BD216" i="7" l="1"/>
  <c r="AZ216" i="7"/>
  <c r="AX216" i="7"/>
  <c r="AV216" i="7"/>
  <c r="AE216" i="7"/>
  <c r="AH216" i="7"/>
  <c r="AD216" i="7"/>
  <c r="AM216" i="7"/>
  <c r="AT216" i="7"/>
  <c r="BE216" i="7"/>
  <c r="AO216" i="7"/>
  <c r="BB216" i="7"/>
  <c r="AQ216" i="7"/>
  <c r="BC216" i="7"/>
  <c r="AE186" i="7"/>
  <c r="AE187" i="7" s="1"/>
  <c r="AM186" i="7"/>
  <c r="AM187" i="7" s="1"/>
  <c r="AO186" i="7"/>
  <c r="AO187" i="7" s="1"/>
  <c r="K184" i="7"/>
  <c r="K186" i="7" s="1"/>
  <c r="K187" i="7" s="1"/>
  <c r="BE186" i="7"/>
  <c r="BE187" i="7" s="1"/>
  <c r="AT186" i="7"/>
  <c r="AT187" i="7" s="1"/>
  <c r="BB186" i="7"/>
  <c r="BB187" i="7" s="1"/>
  <c r="L184" i="7"/>
  <c r="L186" i="7" s="1"/>
  <c r="L187" i="7" s="1"/>
  <c r="AD186" i="7"/>
  <c r="AD187" i="7" s="1"/>
  <c r="AQ186" i="7"/>
  <c r="AQ187" i="7" s="1"/>
  <c r="AV186" i="7"/>
  <c r="AV187" i="7" s="1"/>
  <c r="K192" i="7"/>
  <c r="K193" i="7" s="1"/>
  <c r="K203" i="7" s="1"/>
  <c r="AC193" i="7"/>
  <c r="L192" i="7"/>
  <c r="L193" i="7" s="1"/>
  <c r="L203" i="7" s="1"/>
  <c r="BD186" i="7"/>
  <c r="BD187" i="7" s="1"/>
  <c r="AZ186" i="7"/>
  <c r="AZ187" i="7" s="1"/>
  <c r="L256" i="7" l="1"/>
  <c r="G195" i="7"/>
  <c r="G196" i="7"/>
  <c r="AC203" i="7"/>
  <c r="K256" i="7" s="1"/>
  <c r="K216" i="7"/>
  <c r="K204" i="7"/>
  <c r="L204" i="7"/>
  <c r="L216" i="7"/>
  <c r="L217" i="7" s="1"/>
  <c r="K217" i="7" l="1"/>
  <c r="AR204" i="7"/>
  <c r="AZ204" i="7"/>
  <c r="BB204" i="7"/>
  <c r="AT204" i="7"/>
  <c r="AC216" i="7"/>
  <c r="AV204" i="7"/>
  <c r="G208" i="7"/>
  <c r="AE204" i="7"/>
  <c r="AM204" i="7"/>
  <c r="BE204" i="7"/>
  <c r="AO204" i="7"/>
  <c r="AG204" i="7"/>
  <c r="AJ204" i="7"/>
  <c r="AY204" i="7"/>
  <c r="AQ204" i="7"/>
  <c r="AP204" i="7"/>
  <c r="AK204" i="7"/>
  <c r="AC204" i="7"/>
  <c r="BD204" i="7"/>
  <c r="AS204" i="7"/>
  <c r="AX204" i="7"/>
  <c r="AI204" i="7"/>
  <c r="AF204" i="7"/>
  <c r="BC204" i="7"/>
  <c r="G207" i="7"/>
  <c r="AH204" i="7"/>
  <c r="AL204" i="7"/>
  <c r="AD204" i="7"/>
  <c r="AN204" i="7"/>
  <c r="AW204" i="7"/>
  <c r="BA204" i="7"/>
  <c r="AU204" i="7"/>
  <c r="F206" i="7"/>
  <c r="G220" i="7" l="1"/>
  <c r="AO217" i="7"/>
  <c r="AT217" i="7"/>
  <c r="G221" i="7"/>
  <c r="F219" i="7"/>
  <c r="AI217" i="7"/>
  <c r="BE217" i="7"/>
  <c r="AU217" i="7"/>
  <c r="AQ217" i="7"/>
  <c r="AN217" i="7"/>
  <c r="AR217" i="7"/>
  <c r="AF217" i="7"/>
  <c r="AJ217" i="7"/>
  <c r="AC217" i="7"/>
  <c r="AV217" i="7"/>
  <c r="AP217" i="7"/>
  <c r="AZ217" i="7"/>
  <c r="AS217" i="7"/>
  <c r="AE217" i="7"/>
  <c r="AW217" i="7"/>
  <c r="BB217" i="7"/>
  <c r="AX217" i="7"/>
  <c r="BD217" i="7"/>
  <c r="AY217" i="7"/>
  <c r="AD217" i="7"/>
  <c r="AG217" i="7"/>
  <c r="BA217" i="7"/>
  <c r="AL217" i="7"/>
  <c r="BC217" i="7"/>
  <c r="AK217" i="7"/>
  <c r="AM217" i="7"/>
  <c r="AH217" i="7"/>
  <c r="G209" i="7"/>
  <c r="G222" i="7" l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<sst xmlns="http://schemas.openxmlformats.org/spreadsheetml/2006/main" count="1122" uniqueCount="430">
  <si>
    <t>Código do Município</t>
  </si>
  <si>
    <t>Município</t>
  </si>
  <si>
    <t>Estado</t>
  </si>
  <si>
    <t>Ano de Referência</t>
  </si>
  <si>
    <t>Código do Prestador</t>
  </si>
  <si>
    <t>Prestador</t>
  </si>
  <si>
    <t>Sigla do Prestador</t>
  </si>
  <si>
    <t>Abrangência</t>
  </si>
  <si>
    <t>Tipo de serviço</t>
  </si>
  <si>
    <t>Natureza jurídica</t>
  </si>
  <si>
    <t>GE001 - Quantidade de municípios atendidos com abastecimento de água com delegação em vigor</t>
  </si>
  <si>
    <t>GE002 - Quantidade de municípios atendidos com abastecimento de água com delegação vencida</t>
  </si>
  <si>
    <t>GE003 - Quantidade de municípios atendidos com abastecimento de água sem delegação</t>
  </si>
  <si>
    <t>GE008 - Quantidade de Sedes municipais atendidas com abastecimento de água</t>
  </si>
  <si>
    <t>GE009 - Quantidade de Sedes municipais atendidas com esgotamento sanitário</t>
  </si>
  <si>
    <t>GE010 - Quantidade de Localidades (excluídas as sedes) atendidas com abastecimento de água</t>
  </si>
  <si>
    <t>GE011 - Quantidade de Localidades (excluídas as sedes) atendidas com esgotamento sanitário</t>
  </si>
  <si>
    <t>GE014 - Quantidade de municípios atendidos com esgotamento sanitário com delegação em vigor</t>
  </si>
  <si>
    <t>GE015 - Quantidade de municípios atendidos com esgotamento sanitário com delegação vencida</t>
  </si>
  <si>
    <t>GE016 - Quantidade de municípios atendidos com esgotamento sanitário sem delegação</t>
  </si>
  <si>
    <t>GE017 - Ano de vencimento da delegação de abastecimento de água</t>
  </si>
  <si>
    <t>GE018 - Ano de vencimento da delegação de esgotamento sanitário</t>
  </si>
  <si>
    <t>GE019 - Onde atende com abastecimento de água</t>
  </si>
  <si>
    <t>GE020 - Onde atende com esgotamento sanitário</t>
  </si>
  <si>
    <t>GE030 - Quantidade de municípios não atendidos com esgotamento sanitário e sem delegação para prestar esse serviço</t>
  </si>
  <si>
    <t>POP_TOT - População total do município do ano de referência (Fonte: IBGE):</t>
  </si>
  <si>
    <t>POP_URB - População urbana do município do ano de referência (Fonte: IBGE):</t>
  </si>
  <si>
    <t>AG001 - População total atendida com abastecimento de água</t>
  </si>
  <si>
    <t>AG001A - População total atendida com abastecimento de água no ano anterior ao de referência.</t>
  </si>
  <si>
    <t>AG002 - Quantidade de ligações ativas de água</t>
  </si>
  <si>
    <t>AG002A - Quantidade de ligações ativas de água no ano anterior ao de referência.</t>
  </si>
  <si>
    <t>AG003 - Quantidade de economias ativas de água</t>
  </si>
  <si>
    <t>AG003A - Quantidade de economias ativas de água no ano anterior ao de referência.</t>
  </si>
  <si>
    <t>AG004 - Quantidade de ligações ativas de água micromedidas</t>
  </si>
  <si>
    <t>AG004A - Quantidade de ligações ativas de água micromedidas no ano anterior ao de referência.</t>
  </si>
  <si>
    <t>AG005 - Extensão da rede de água</t>
  </si>
  <si>
    <t>AG005A - Extensão da rede de água no ano anterior ao de referência.</t>
  </si>
  <si>
    <t>AG006 - Volume de água produzido</t>
  </si>
  <si>
    <t>AG007 - Volume de água tratada em ETAs</t>
  </si>
  <si>
    <t>AG008 - Volume de água micromedido</t>
  </si>
  <si>
    <t>AG010 - Volume de água consumido</t>
  </si>
  <si>
    <t>AG011 - Volume de água faturado</t>
  </si>
  <si>
    <t>AG012 - Volume de água macromedido</t>
  </si>
  <si>
    <t>AG013 - Quantidade de economias residenciais ativas de água</t>
  </si>
  <si>
    <t>AG013A - Quantidade de economias residenciais ativas de água no ano anterior ao de referência.</t>
  </si>
  <si>
    <t>AG014 - Quantidade de economias ativas de água micromedidas</t>
  </si>
  <si>
    <t>AG014A - Quantidade de economias ativas de água micromedidas no ano anterior ao de referência.</t>
  </si>
  <si>
    <t>AG015 - Volume de água tratada por simples desinfecção</t>
  </si>
  <si>
    <t>AG017 - Volume de água bruta exportado</t>
  </si>
  <si>
    <t>AG018 - Volume de água tratada importado</t>
  </si>
  <si>
    <t>AG019 - Volume de água tratada exportado</t>
  </si>
  <si>
    <t>AG020 - Volume micromedido nas economias residenciais ativas de água</t>
  </si>
  <si>
    <t>AG021 - Quantidade de ligações totais de água</t>
  </si>
  <si>
    <t>AG021A - Quantidade de ligações totais de água no ano anterior ao de referência.</t>
  </si>
  <si>
    <t>AG022 - Quantidade de economias residenciais ativas de água micromedidas</t>
  </si>
  <si>
    <t>AG022A - Quantidade de economias residenciais ativas de água micromedidas no ano anterior ao de referência.</t>
  </si>
  <si>
    <t>AG024 - Volume de serviço</t>
  </si>
  <si>
    <t>AG025A - População rural atendida com abastecimento de água no ano anterior ao de referência.</t>
  </si>
  <si>
    <t>AG026 - População urbana atendida com abastecimento de água</t>
  </si>
  <si>
    <t>AG026A - População urbana atendida com abastecimento de água no ano anterior ao de referência.</t>
  </si>
  <si>
    <t>AG027 - Volume de água fluoretada</t>
  </si>
  <si>
    <t>AG028 - Consumo total de energia elétrica nos sistemas de água</t>
  </si>
  <si>
    <t>ES001 - População total atendida com esgotamento sanitário</t>
  </si>
  <si>
    <t>ES001A - População total atendida com esgotamento sanitário no ano anterior ao de referência.</t>
  </si>
  <si>
    <t>ES002 - Quantidade de ligações ativas de esgotos</t>
  </si>
  <si>
    <t>ES002A - Quantidade de ligações ativas de esgoto no ano anterior ao de referência.</t>
  </si>
  <si>
    <t>ES003 - Quantidade de economias ativas de esgotos</t>
  </si>
  <si>
    <t>ES003A - Quantidade de economias ativas de esgoto no ano anterior ao de referência.</t>
  </si>
  <si>
    <t>ES004 - Extensão da rede de esgotos</t>
  </si>
  <si>
    <t>ES004A - Extensão da rede de esgoto no ano anterior ao de referência.</t>
  </si>
  <si>
    <t>ES005 - Volume de esgotos coletado</t>
  </si>
  <si>
    <t>ES006 - Volume de esgotos tratado</t>
  </si>
  <si>
    <t>ES007 - Volume de esgotos faturado</t>
  </si>
  <si>
    <t>ES008 - Quantidade de economias residenciais ativas de esgotos</t>
  </si>
  <si>
    <t>ES008A - Quantidade de economias residenciais ativas de esgoto no ano anterior ao de referência.</t>
  </si>
  <si>
    <t>ES009 - Quantidade de ligações totais de esgotos</t>
  </si>
  <si>
    <t>ES009A - Quantidade de ligações totais de esgoto no ano anterior ao de referência.</t>
  </si>
  <si>
    <t>ES012 - Volume de esgoto bruto exportado</t>
  </si>
  <si>
    <t>ES013 - Volume de esgotos bruto importado</t>
  </si>
  <si>
    <t>ES014 - Volume de esgoto importado tratado nas instalações do importador</t>
  </si>
  <si>
    <t>ES015 - Volume de esgoto bruto exportado tratado nas instalações do importador</t>
  </si>
  <si>
    <t>ES025A - População rural atendida com esgotamento sanitário no ano anterior ao de referência.</t>
  </si>
  <si>
    <t>ES026 - População urbana atendida com esgotamento sanitário</t>
  </si>
  <si>
    <t>ES026A - População urbana atendida com esgotamento sanitário no ano anterior ao de referência.</t>
  </si>
  <si>
    <t>ES028 - Consumo total de energia elétrica nos sistemas de esgotos</t>
  </si>
  <si>
    <t>FN001 - Receita operacional direta total</t>
  </si>
  <si>
    <t>FN002 - Receita operacional direta de água</t>
  </si>
  <si>
    <t>FN003 - Receita operacional direta de esgoto</t>
  </si>
  <si>
    <t>FN004 - Receita operacional indireta</t>
  </si>
  <si>
    <t>FN005 - Receita operacional total (direta + indireta)</t>
  </si>
  <si>
    <t>FN006 - Arrecadação total</t>
  </si>
  <si>
    <t>FN007 - Receita operacional direta de água exportada (bruta ou tratada)</t>
  </si>
  <si>
    <t>FN008 - Créditos de contas a receber</t>
  </si>
  <si>
    <t>FN008A - Crédito de contas a receber no ano anterior ao de referência.</t>
  </si>
  <si>
    <t>FN010 - Despesa com pessoal próprio</t>
  </si>
  <si>
    <t>FN011 - Despesa com produtos químicos</t>
  </si>
  <si>
    <t>FN013 - Despesa com energia elétrica</t>
  </si>
  <si>
    <t>FN014 - Despesa com serviços de terceiros</t>
  </si>
  <si>
    <t>FN015 - Despesas de Exploração (DEX)</t>
  </si>
  <si>
    <t>FN016 - Despesas com juros e encargos do serviço da dívida</t>
  </si>
  <si>
    <t>FN017 - Despesas totais com os serviços (DTS)</t>
  </si>
  <si>
    <t>FN018 - Despesas capitalizáveis realizadas pelo prestador de serviços</t>
  </si>
  <si>
    <t>FN019 - Despesas com depreciação, amortização do ativo diferido e provisão para devedores duvidosos</t>
  </si>
  <si>
    <t>FN020 - Despesa com água importada (bruta ou tratada)</t>
  </si>
  <si>
    <t>FN021 - Despesas fiscais ou tributárias computadas na DEX</t>
  </si>
  <si>
    <t>FN022 - Despesas fiscais ou tributárias não computadas na DEX</t>
  </si>
  <si>
    <t>FN023 - Investimento realizado em abastecimento de água pelo prestador de serviços</t>
  </si>
  <si>
    <t>FN024 - Investimento realizado em esgotamento sanitário pelo prestador de serviços</t>
  </si>
  <si>
    <t>FN025 - Outros investimentos realizados pelo prestador de serviços</t>
  </si>
  <si>
    <t>FN026 - Quantidade total de empregados próprios</t>
  </si>
  <si>
    <t>FN026A - Quantidade total de empregados próprios no ano anterior ao de referência.</t>
  </si>
  <si>
    <t>FN027 - Outras despesas de exploração</t>
  </si>
  <si>
    <t>FN028 - Outras despesas com os serviços</t>
  </si>
  <si>
    <t>FN030 - Investimento com recursos próprios realizado pelo prestador de serviços.</t>
  </si>
  <si>
    <t>FN031 - Investimento com recursos onerosos realizado pelo prestador de serviços.</t>
  </si>
  <si>
    <t>FN032 - Investimento com recursos não onerosos realizado pelo prestador de serviços.</t>
  </si>
  <si>
    <t>FN033 - Investimentos totais realizados pelo prestador de serviços</t>
  </si>
  <si>
    <t>FN034 - Despesas com amortizações do serviço da dívida</t>
  </si>
  <si>
    <t>FN035 - Despesas com juros e encargos do serviço da dívida, exceto variações monetária e cambial</t>
  </si>
  <si>
    <t>FN036 - Despesa com variações monetárias e cambiais das dívidas</t>
  </si>
  <si>
    <t>FN037 - Despesas totais com o serviço da dívida</t>
  </si>
  <si>
    <t>FN038 - Receita operacional direta - esgoto bruto importado</t>
  </si>
  <si>
    <t>FN039 - Despesa com esgoto exportado</t>
  </si>
  <si>
    <t>FN041 - Despesas capitalizáveis realizadas pelo(s) município(s)</t>
  </si>
  <si>
    <t>FN042 - Investimento realizado em abastecimento de água pelo(s) município(s)</t>
  </si>
  <si>
    <t>FN043 - Investimento realizado em esgotamento sanitário pelo(s) município(s)</t>
  </si>
  <si>
    <t>FN044 - Outros investimentos realizados pelo(s) município(s)</t>
  </si>
  <si>
    <t>FN045 - Investimento com recursos próprios realizado pelo(s) município(s)</t>
  </si>
  <si>
    <t>FN046 - Investimento com recursos onerosos realizado pelo(s) município(s)</t>
  </si>
  <si>
    <t>FN047 - Investimento com recursos não onerosos realizado pelo(s) município(s)</t>
  </si>
  <si>
    <t>FN048 - Investimentos totais realizados pelo(s) município(s)</t>
  </si>
  <si>
    <t>FN051 - Despesas capitalizáveis realizadas pelo estado</t>
  </si>
  <si>
    <t>FN052 - Investimento realizado em abastecimento de água pelo estado</t>
  </si>
  <si>
    <t>FN053 - Investimento realizado em esgotamento sanitário pelo estado</t>
  </si>
  <si>
    <t>FN054 - Outros investimentos realizados pelo estado</t>
  </si>
  <si>
    <t>FN055 - Investimento com recursos próprios realizado pelo estado</t>
  </si>
  <si>
    <t>FN056 - Investimento com recursos onerosos realizado pelo estado</t>
  </si>
  <si>
    <t>FN057 - Investimento com recursos não onerosos realizado pelo estado</t>
  </si>
  <si>
    <t>FN058 - Investimentos totais realizados pelo estado</t>
  </si>
  <si>
    <t>QD001 - Tipo de atendimento da portaria sobre qualidade da água</t>
  </si>
  <si>
    <t>QD002 - Quantidades de paralisações no sistema de distribuição de água</t>
  </si>
  <si>
    <t>QD003 - Duração das paralisações</t>
  </si>
  <si>
    <t>QD004 - Quantidade de economias ativas atingidas por paralisações</t>
  </si>
  <si>
    <t>QD006 - Quantidade de amostras para cloro residual (analisadas)</t>
  </si>
  <si>
    <t>QD007 - Quantidade de amostras para cloro residual com resultados fora do padrão</t>
  </si>
  <si>
    <t>QD008 - Quantidade de amostras para turbidez (analisadas)</t>
  </si>
  <si>
    <t>QD009 - Quantidade de amostras para turbidez fora do padrão</t>
  </si>
  <si>
    <t>QD011 - Quantidades de extravasamentos de esgotos registrados</t>
  </si>
  <si>
    <t>QD012 - Duração dos extravasamentos registrados</t>
  </si>
  <si>
    <t>QD015 - Quantidade de economias ativas atingidas por interrupções sistemáticas</t>
  </si>
  <si>
    <t>QD019 - Quantidade mínima de amostras para turbidez (obrigatórias)</t>
  </si>
  <si>
    <t>QD020 - Quantidade mínima de amostras para cloro residual (obrigatórias)</t>
  </si>
  <si>
    <t>QD021 - Quantidade de interrupções sistemáticas</t>
  </si>
  <si>
    <t>QD022 - Duração das interrupções sistemáticas</t>
  </si>
  <si>
    <t>QD023 - Quantidade de reclamações ou solicitações de serviços</t>
  </si>
  <si>
    <t>QD024 - Quantidade de serviços executados</t>
  </si>
  <si>
    <t>QD025 - Tempo total de execução dos serviços</t>
  </si>
  <si>
    <t>QD026 - Quantidade de amostras para coliformes totais (analisadas)</t>
  </si>
  <si>
    <t>QD027 - Quantidade de amostras para coliformes totais com resultados fora do padrão</t>
  </si>
  <si>
    <t>QD028 - Quantidade mínima de amostras para coliformes totais (obrigatórias)</t>
  </si>
  <si>
    <t>IN001 - Densidade de economias de água por ligação</t>
  </si>
  <si>
    <t>IN002 - Índice de produtividade: economias ativas por pessoal próprio</t>
  </si>
  <si>
    <t>IN003 - Despesa total com os serviços por m3 faturado</t>
  </si>
  <si>
    <t>IN004 - Tarifa média praticada</t>
  </si>
  <si>
    <t>IN005 - Tarifa média de água</t>
  </si>
  <si>
    <t>IN006 - Tarifa média de esgoto</t>
  </si>
  <si>
    <t>IN007 - Incidência da desp. de pessoal e de serv. de terc. nas despesas totais com os serviços</t>
  </si>
  <si>
    <t>IN008 - Despesa média anual por empregado</t>
  </si>
  <si>
    <t>IN009 - Índice de hidrometração</t>
  </si>
  <si>
    <t>IN010 - Índice de micromedição relativo ao volume disponibilizado</t>
  </si>
  <si>
    <t>IN011 - Índice de macromedição</t>
  </si>
  <si>
    <t>IN012 - Indicador de desempenho financeiro</t>
  </si>
  <si>
    <t>IN013 - Índice de perdas faturamento</t>
  </si>
  <si>
    <t>IN014 - Consumo micromedido por economia</t>
  </si>
  <si>
    <t>IN015 - Índice de coleta de esgoto</t>
  </si>
  <si>
    <t>IN016 - Índice de tratamento de esgoto</t>
  </si>
  <si>
    <t>IN017 - Consumo de água faturado por economia</t>
  </si>
  <si>
    <t>IN018 - Quantidade equivalente de pessoal total</t>
  </si>
  <si>
    <t>IN019 - Índice de produtividade: economias ativas por pessoal total (equivalente)</t>
  </si>
  <si>
    <t>IN020 - Extensão da rede de água por ligação</t>
  </si>
  <si>
    <t>IN021 - Extensão da rede de esgoto por ligação</t>
  </si>
  <si>
    <t>IN022 - Consumo médio percapita de água</t>
  </si>
  <si>
    <t>IN023 - Índice de atendimento urbano de água</t>
  </si>
  <si>
    <t>IN024 - Índice de atendimento urbano de esgoto referido aos municípios atendidos com água</t>
  </si>
  <si>
    <t>IN025 - Volume de água disponibilizado por economia</t>
  </si>
  <si>
    <t>IN026 - Despesa de exploração por m3 faturado</t>
  </si>
  <si>
    <t>IN027 - Despesa de exploração por economia</t>
  </si>
  <si>
    <t>IN028 - Índice de faturamento de água</t>
  </si>
  <si>
    <t>IN029 - Índice de evasão de receitas</t>
  </si>
  <si>
    <t>IN030 - Margem da despesa de exploração</t>
  </si>
  <si>
    <t>IN031 - Margem da despesa com pessoal próprio</t>
  </si>
  <si>
    <t>IN032 - Margem da despesa com pessoal total (equivalente)</t>
  </si>
  <si>
    <t>IN033 - Margem do serviço da divida</t>
  </si>
  <si>
    <t>IN034 - Margem das outras despesas de exploração</t>
  </si>
  <si>
    <t>IN035 - Participação da despesa com pessoal próprio nas despesas de exploração</t>
  </si>
  <si>
    <t>IN036 - Participação da despesa com pessoal total (equivalente) nas despesas de exploração</t>
  </si>
  <si>
    <t>IN037 - Participação da despesa com energia elétrica nas despesas de exploração</t>
  </si>
  <si>
    <t>IN038 - Participação da despesa com produtos químicos nas despesas de exploração (DEX)</t>
  </si>
  <si>
    <t>IN039 - Participação das outras despesas nas despesas de exploração</t>
  </si>
  <si>
    <t>IN040 - Participação da receita operacional direta de água na receita operacional total</t>
  </si>
  <si>
    <t>IN041 - Participação da receita operacional direta de esgoto na receita operacional total</t>
  </si>
  <si>
    <t>IN042 - Participação da receita operacional indireta na receita operacional total</t>
  </si>
  <si>
    <t>IN043 - Participação das economias residenciais de água no total das economias de água</t>
  </si>
  <si>
    <t>IN044 - Índice de micromedição relativo ao consumo</t>
  </si>
  <si>
    <t>IN045 - Índice de produtividade: empregados próprios por 1000 ligações de água</t>
  </si>
  <si>
    <t>IN046 - Índice de esgoto tratado referido à água consumida</t>
  </si>
  <si>
    <t>IN047 - Índice de atendimento urbano de esgoto referido aos municípios atendidos com esgoto</t>
  </si>
  <si>
    <t>IN048 - Índice de produtividade: empregados próprios por 1000 ligações de água + esgoto</t>
  </si>
  <si>
    <t>IN049 - Índice de perdas na distribuição</t>
  </si>
  <si>
    <t>IN050 - Índice bruto de perdas lineares</t>
  </si>
  <si>
    <t>IN051 - Índice de perdas por ligação</t>
  </si>
  <si>
    <t>IN052 - Índice de consumo de água</t>
  </si>
  <si>
    <t>IN053 - Consumo médio de água por economia</t>
  </si>
  <si>
    <t>IN054 - Dias de faturamento comprometidos com contas a receber</t>
  </si>
  <si>
    <t>IN055 - Índice de atendimento total de água</t>
  </si>
  <si>
    <t>IN056 - Índice de atendimento total de esgoto referido aos municípios atendidos com água</t>
  </si>
  <si>
    <t>IN057 - Índice de fluoretação de água</t>
  </si>
  <si>
    <t>IN058 - Índice de consumo de energia elétrica em sistemas de abastecimento de água</t>
  </si>
  <si>
    <t>IN059 - Índice de consumo de energia elétrica em sistemas de esgotamento sanitário</t>
  </si>
  <si>
    <t>IN060 - Índice de despesas por consumo de energia elétrica nos sistemas de água e esgotos</t>
  </si>
  <si>
    <t>IN071 - Economias atingidas por paralisações</t>
  </si>
  <si>
    <t>IN072 - Duração média das paralisações</t>
  </si>
  <si>
    <t>IN073 - Economias atingidas por intermitências</t>
  </si>
  <si>
    <t>IN074 - Duração média das intermitências</t>
  </si>
  <si>
    <t>IN075 - Incidência das análises de cloro residual fora do padrão</t>
  </si>
  <si>
    <t>IN076 - Incidência das análises de turbidez fora do padrão</t>
  </si>
  <si>
    <t>IN077 - Duração média dos reparos de extravasamentos de esgotos</t>
  </si>
  <si>
    <t>IN079 - Índice de conformidade da quantidade de amostras - cloro residual</t>
  </si>
  <si>
    <t>IN080 - Índice de conformidade da quantidade de amostras - turbidez</t>
  </si>
  <si>
    <t>IN082 - Extravasamentos de esgotos por extensão de rede</t>
  </si>
  <si>
    <t>IN083 - Duração média dos serviços executados</t>
  </si>
  <si>
    <t>IN084 - Incidência das análises de coliformes totais fora do padrão</t>
  </si>
  <si>
    <t>IN085 - Índice de conformidade da quantidade de amostras - coliformes totais</t>
  </si>
  <si>
    <t>IN101 - Índice de suficiência de caixa</t>
  </si>
  <si>
    <t>IN102 - Índice de produtividade de pessoal total (equivalente)</t>
  </si>
  <si>
    <t>SP</t>
  </si>
  <si>
    <t>Local</t>
  </si>
  <si>
    <t>Água e Esgoto</t>
  </si>
  <si>
    <t>Sede Municipal</t>
  </si>
  <si>
    <t>Ambos</t>
  </si>
  <si>
    <t>Atende integralmente</t>
  </si>
  <si>
    <t xml:space="preserve"> </t>
  </si>
  <si>
    <t>Modelo Econonômico Financeiro</t>
  </si>
  <si>
    <t>Índice de Atendimento Total de Água</t>
  </si>
  <si>
    <t>Índice de Hidrometração</t>
  </si>
  <si>
    <t>Índice de Perdas</t>
  </si>
  <si>
    <t>Índices</t>
  </si>
  <si>
    <t>População Total</t>
  </si>
  <si>
    <t>População</t>
  </si>
  <si>
    <t>População Urbana</t>
  </si>
  <si>
    <t>População Rural</t>
  </si>
  <si>
    <t>Ligações de Água Totais</t>
  </si>
  <si>
    <t>Ligações de Água Ativas</t>
  </si>
  <si>
    <t>Ligações de Água Inativas</t>
  </si>
  <si>
    <t>Atendimento em Água</t>
  </si>
  <si>
    <t>Atendimento em Esgoto</t>
  </si>
  <si>
    <t>Ligações de Esgoto Totais</t>
  </si>
  <si>
    <t>Ligações de Esgoto Ativas</t>
  </si>
  <si>
    <t>Ligações de Esgoto Inativas</t>
  </si>
  <si>
    <t>Consumo Per Capita</t>
  </si>
  <si>
    <t>Consumo de água faturado por economia</t>
  </si>
  <si>
    <t>Consumo de água medido por economia</t>
  </si>
  <si>
    <t>Consumos e Volumes</t>
  </si>
  <si>
    <t>Densidade de economias por ligação</t>
  </si>
  <si>
    <t>Custos e Despesas</t>
  </si>
  <si>
    <t>Pessoal</t>
  </si>
  <si>
    <t>Energia</t>
  </si>
  <si>
    <t>Produtos Quiímicos</t>
  </si>
  <si>
    <t>Serviços de Terceiros</t>
  </si>
  <si>
    <t>Outras despesas de exploração</t>
  </si>
  <si>
    <t>Outras despesas com os serviços</t>
  </si>
  <si>
    <t>Valores Totais</t>
  </si>
  <si>
    <t>Indicadores</t>
  </si>
  <si>
    <t>Receita</t>
  </si>
  <si>
    <t>Receita de Água</t>
  </si>
  <si>
    <t>Receita de Esgoto</t>
  </si>
  <si>
    <t>Receita de Serviços</t>
  </si>
  <si>
    <t>Arrecadação</t>
  </si>
  <si>
    <t>Tarifa Média de Água</t>
  </si>
  <si>
    <t>Tarifa Média de Esgoto</t>
  </si>
  <si>
    <t>Volume Faturado de Água</t>
  </si>
  <si>
    <t>Volume Faturado de Esgoto</t>
  </si>
  <si>
    <t>Volume médio faturado por ligação de água ativa</t>
  </si>
  <si>
    <t>Índice de Atendimento Total  de Esgoto</t>
  </si>
  <si>
    <t>Densidade de População por Ligação Ativa</t>
  </si>
  <si>
    <t>Curva de Crescimento</t>
  </si>
  <si>
    <t>Crescimento Acumulado</t>
  </si>
  <si>
    <t>Relação entre consumo e faturado</t>
  </si>
  <si>
    <t>Método de Receita 1 - Tarifa Média</t>
  </si>
  <si>
    <t>Serviços sobre Água e Esgoto</t>
  </si>
  <si>
    <t>Inadimplência</t>
  </si>
  <si>
    <t>Demonstrativo de Resultado</t>
  </si>
  <si>
    <t>=</t>
  </si>
  <si>
    <t>Receita Bruta</t>
  </si>
  <si>
    <t>-</t>
  </si>
  <si>
    <t>Impostos sobre Receita</t>
  </si>
  <si>
    <t>PIS, Cofins</t>
  </si>
  <si>
    <t>ISS</t>
  </si>
  <si>
    <t>Receita Líquida</t>
  </si>
  <si>
    <t>Custos Operacionais</t>
  </si>
  <si>
    <t>EBITDA</t>
  </si>
  <si>
    <t>Demonstrativo de Fluxo de Caixa</t>
  </si>
  <si>
    <t>IR/CSLL</t>
  </si>
  <si>
    <t>Fluxo de Caixa, após atividades de operação</t>
  </si>
  <si>
    <t>VPL</t>
  </si>
  <si>
    <t>Investimentos</t>
  </si>
  <si>
    <t>Fluxo de Caixa, após atividades de investimentos</t>
  </si>
  <si>
    <t>Auxiliar</t>
  </si>
  <si>
    <t>Amortização</t>
  </si>
  <si>
    <t>Curva de Amortização</t>
  </si>
  <si>
    <t>Período</t>
  </si>
  <si>
    <t>Amortização / Depreciação</t>
  </si>
  <si>
    <t>Margem EBITDA</t>
  </si>
  <si>
    <t>%</t>
  </si>
  <si>
    <t>EBIT</t>
  </si>
  <si>
    <t>Lucro Líquido</t>
  </si>
  <si>
    <t>Margem Líquida</t>
  </si>
  <si>
    <t xml:space="preserve">Ano-Projeto &gt; </t>
  </si>
  <si>
    <t xml:space="preserve">Ano-Calendário &gt; </t>
  </si>
  <si>
    <t>Produtos Químicos</t>
  </si>
  <si>
    <t>Fluxo de Caixa, após atividades de financiamento</t>
  </si>
  <si>
    <t>TIR</t>
  </si>
  <si>
    <t>a.a.</t>
  </si>
  <si>
    <t>R$</t>
  </si>
  <si>
    <t>Base de Ativos</t>
  </si>
  <si>
    <t>PDD</t>
  </si>
  <si>
    <t>Taxas de Retorno</t>
  </si>
  <si>
    <t>NTN-B</t>
  </si>
  <si>
    <t>Spread</t>
  </si>
  <si>
    <t>PPP Sanepar</t>
  </si>
  <si>
    <t>WACC</t>
  </si>
  <si>
    <t>Tarifas Discricionárias</t>
  </si>
  <si>
    <t>Sabesp</t>
  </si>
  <si>
    <t>Sanepar</t>
  </si>
  <si>
    <t>Embasa</t>
  </si>
  <si>
    <t>Copasa</t>
  </si>
  <si>
    <t>Tarifas Fixas</t>
  </si>
  <si>
    <t xml:space="preserve"> BNDES, Rio de Janeiro</t>
  </si>
  <si>
    <t xml:space="preserve"> BNDES, Alagoas - Bloco A</t>
  </si>
  <si>
    <t xml:space="preserve"> BNDES, Alagoas - Bloco B</t>
  </si>
  <si>
    <t xml:space="preserve"> BNDES, Alagoas - Bloco C</t>
  </si>
  <si>
    <t>Taxa</t>
  </si>
  <si>
    <t>Volume de Água Consumida anual</t>
  </si>
  <si>
    <t>Volume de Água Produzida anual</t>
  </si>
  <si>
    <t>Volume de Esgoto Tratado anual</t>
  </si>
  <si>
    <t>Fluxo de Caixa, após atividades de investimentos - Acumulado</t>
  </si>
  <si>
    <t>Fluxo de Caixa, após atividades de financiamento - Acumulado</t>
  </si>
  <si>
    <t>Relação entre Esgoto e Água Consumida</t>
  </si>
  <si>
    <t>Valores Totais, ajustado para 2023</t>
  </si>
  <si>
    <t>Macroeconômico</t>
  </si>
  <si>
    <t>SÉRIE HISTÓRICA DO IPCA</t>
  </si>
  <si>
    <t>(continua)</t>
  </si>
  <si>
    <t xml:space="preserve">    VARIAÇÃO</t>
  </si>
  <si>
    <t>ANO</t>
  </si>
  <si>
    <t>MÊS</t>
  </si>
  <si>
    <t>NÚMERO ÍNDICE</t>
  </si>
  <si>
    <t>(%)</t>
  </si>
  <si>
    <t>(DEZ 93 = 100)</t>
  </si>
  <si>
    <t>NO</t>
  </si>
  <si>
    <t>MESES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</si>
  <si>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</si>
  <si>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</si>
  <si>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</si>
  <si>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</si>
  <si>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</si>
  <si>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</si>
  <si>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</si>
  <si>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</si>
  <si>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</si>
  <si>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</si>
  <si>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</si>
  <si>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</si>
  <si>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(continuação)</t>
  </si>
  <si>
    <t>(conclusão)</t>
  </si>
  <si>
    <t xml:space="preserve">Fonte: IBGE, Diretoria de Pesquisas, Coordenação de Índices de Preços, </t>
  </si>
  <si>
    <t>Sistema Nacional de Índices de Preços ao Consumidor.</t>
  </si>
  <si>
    <t>IPCA, variação ano</t>
  </si>
  <si>
    <t>IPCA, ajuste para 2023</t>
  </si>
  <si>
    <t>Exposição Máxima</t>
  </si>
  <si>
    <t>Guará</t>
  </si>
  <si>
    <t>Águas de Guará Ltda</t>
  </si>
  <si>
    <t>GUARA</t>
  </si>
  <si>
    <t>Empresa privada</t>
  </si>
  <si>
    <t>Administração pública direta</t>
  </si>
  <si>
    <t>Sistema de Abastecimento de Água</t>
  </si>
  <si>
    <t>Sistema de Esgotamento Sanitário</t>
  </si>
  <si>
    <t>Outros Investimentos</t>
  </si>
  <si>
    <t>Demonstrativo Operacional</t>
  </si>
  <si>
    <t>População Atendida, em Água</t>
  </si>
  <si>
    <t>População Atendida, em Esgoto</t>
  </si>
  <si>
    <t>Número de Ligações Ativas, em Água</t>
  </si>
  <si>
    <t>Número de Ligações Ativas, em Esgoto</t>
  </si>
  <si>
    <t>Índice de Atendimento, em Água</t>
  </si>
  <si>
    <t>Índice de Atendimento, em Esgoto</t>
  </si>
  <si>
    <t>Indicador de Custos, Pessoal por Ligação Ativa</t>
  </si>
  <si>
    <t>Indicador de Custos, Energia por m3 produzido</t>
  </si>
  <si>
    <t>Indicador de Custos, Produtos Químicos por m3 produzido</t>
  </si>
  <si>
    <t>Indicador de Custos, Terceiros por Ligação Ativa</t>
  </si>
  <si>
    <t>Indicador de Custos, Outras Despesas por Ligação Ativa</t>
  </si>
  <si>
    <t>Indicador de Custos, Outros Serviços por Ligação Ativa</t>
  </si>
  <si>
    <t>Indicador de Custos, Total por m3 produzido</t>
  </si>
  <si>
    <t>Indicador de Custos, Total por Ligação Ativa</t>
  </si>
  <si>
    <t>Total de Investimentos, em Água</t>
  </si>
  <si>
    <t>Total de Investimentos, em Esgoto</t>
  </si>
  <si>
    <t>Total de Investimentos, em Outros</t>
  </si>
  <si>
    <t>Indicador de Investimento, Água por ligação adicional do período</t>
  </si>
  <si>
    <t>Indicador de Investimento, Esgoto por ligação adicional do período</t>
  </si>
  <si>
    <t>Indicador de Investimento, Esgoto por ligação acumulada</t>
  </si>
  <si>
    <t>Indicador de Investimento, Água por ligação acumulada</t>
  </si>
  <si>
    <t>Tarifa Média</t>
  </si>
  <si>
    <t>Volume Faturado, em Água</t>
  </si>
  <si>
    <t>Volume Faturado, em Esgoto</t>
  </si>
  <si>
    <t>Outorga</t>
  </si>
  <si>
    <t>Taxa de Regulação</t>
  </si>
  <si>
    <t>Liberação</t>
  </si>
  <si>
    <t>Pagamento</t>
  </si>
  <si>
    <t>Créditos IR/CSLL sobre Juros</t>
  </si>
  <si>
    <t>ICSD</t>
  </si>
  <si>
    <t xml:space="preserve"> t5t</t>
  </si>
  <si>
    <t>Impacto Orçamentário</t>
  </si>
  <si>
    <t>Antes da Concessão</t>
  </si>
  <si>
    <t>Entradas, Município</t>
  </si>
  <si>
    <t>Saídas, Município</t>
  </si>
  <si>
    <t>Resultado, Município</t>
  </si>
  <si>
    <t>Depis da Concessão</t>
  </si>
  <si>
    <t>Financiamento</t>
  </si>
  <si>
    <t>1 a 5 anos</t>
  </si>
  <si>
    <t>6 a 30 anos</t>
  </si>
  <si>
    <t>Entradas, Município - ISS</t>
  </si>
  <si>
    <t>Entradas, Município - Outorga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</si>
</sst>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"/>
    <numFmt numFmtId="166" formatCode="0.0000"/>
  </numFmts>
  <fonts count="20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u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name val="Arial"/>
      <family val="2"/>
    </font>
    <font>
      <sz val="10"/>
      <color theme="0"/>
      <name val="Calibri"/>
      <family val="2"/>
    </font>
    <font>
      <sz val="18"/>
      <color theme="1"/>
      <name val="Calibri"/>
      <family val="2"/>
    </font>
    <font>
      <sz val="8"/>
      <name val="Courier New"/>
      <family val="3"/>
    </font>
    <font>
      <b/>
      <sz val="12"/>
      <name val="Courier New"/>
      <family val="3"/>
    </font>
    <font>
      <b/>
      <sz val="10"/>
      <name val="Courier New"/>
      <family val="3"/>
    </font>
    <font>
      <b/>
      <sz val="8"/>
      <name val="Courier New"/>
      <family val="3"/>
    </font>
    <font>
      <sz val="12"/>
      <name val="Times New Roman"/>
      <family val="1"/>
    </font>
    <font>
      <b/>
      <u/>
      <sz val="10"/>
      <color theme="1"/>
      <name val="Calibri"/>
      <family val="2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12"/>
      <color theme="1"/>
      <name val="Helvetica"/>
      <family val="2"/>
    </font>
    <font>
      <i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139">
    <xf numFmtId="0" fontId="0" fillId="0" borderId="0" xfId="0"/>
    <xf numFmtId="3" fontId="0" fillId="0" borderId="0" xfId="0" applyNumberFormat="1"/>
    <xf numFmtId="4" fontId="0" fillId="0" borderId="0" xfId="0" applyNumberFormat="1"/>
    <xf numFmtId="9" fontId="0" fillId="0" borderId="0" xfId="1" applyFont="1"/>
    <xf numFmtId="0" fontId="4" fillId="0" borderId="0" xfId="0" applyFont="1"/>
    <xf numFmtId="3" fontId="0" fillId="0" borderId="0" xfId="1" applyNumberFormat="1" applyFont="1"/>
    <xf numFmtId="0" fontId="3" fillId="0" borderId="0" xfId="0" applyFont="1"/>
    <xf numFmtId="164" fontId="0" fillId="0" borderId="0" xfId="1" applyNumberFormat="1" applyFont="1"/>
    <xf numFmtId="4" fontId="0" fillId="0" borderId="0" xfId="1" applyNumberFormat="1" applyFont="1"/>
    <xf numFmtId="0" fontId="2" fillId="2" borderId="0" xfId="0" applyFont="1" applyFill="1"/>
    <xf numFmtId="9" fontId="0" fillId="0" borderId="0" xfId="0" applyNumberFormat="1"/>
    <xf numFmtId="10" fontId="5" fillId="0" borderId="0" xfId="1" applyNumberFormat="1" applyFont="1"/>
    <xf numFmtId="10" fontId="0" fillId="0" borderId="0" xfId="0" applyNumberFormat="1"/>
    <xf numFmtId="165" fontId="0" fillId="0" borderId="0" xfId="1" applyNumberFormat="1" applyFont="1"/>
    <xf numFmtId="3" fontId="0" fillId="1" borderId="0" xfId="1" applyNumberFormat="1" applyFont="1" applyFill="1"/>
    <xf numFmtId="4" fontId="5" fillId="0" borderId="0" xfId="1" applyNumberFormat="1" applyFont="1"/>
    <xf numFmtId="0" fontId="0" fillId="0" borderId="0" xfId="0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10" fontId="0" fillId="0" borderId="0" xfId="1" applyNumberFormat="1" applyFont="1"/>
    <xf numFmtId="9" fontId="3" fillId="0" borderId="0" xfId="1" applyFont="1"/>
    <xf numFmtId="10" fontId="3" fillId="0" borderId="0" xfId="0" applyNumberFormat="1" applyFont="1"/>
    <xf numFmtId="0" fontId="3" fillId="0" borderId="0" xfId="0" applyFont="1" applyAlignment="1">
      <alignment horizontal="right"/>
    </xf>
    <xf numFmtId="3" fontId="6" fillId="0" borderId="0" xfId="0" applyNumberFormat="1" applyFont="1"/>
    <xf numFmtId="3" fontId="3" fillId="0" borderId="0" xfId="0" applyNumberFormat="1" applyFont="1" applyAlignment="1">
      <alignment horizontal="right"/>
    </xf>
    <xf numFmtId="10" fontId="2" fillId="2" borderId="0" xfId="0" applyNumberFormat="1" applyFont="1" applyFill="1"/>
    <xf numFmtId="0" fontId="8" fillId="0" borderId="0" xfId="0" applyFont="1"/>
    <xf numFmtId="3" fontId="8" fillId="0" borderId="0" xfId="0" applyNumberFormat="1" applyFont="1"/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10" fillId="0" borderId="0" xfId="2" applyFont="1"/>
    <xf numFmtId="2" fontId="10" fillId="0" borderId="0" xfId="2" applyNumberFormat="1" applyFont="1"/>
    <xf numFmtId="4" fontId="10" fillId="0" borderId="0" xfId="2" applyNumberFormat="1" applyFont="1"/>
    <xf numFmtId="0" fontId="10" fillId="0" borderId="1" xfId="2" applyFont="1" applyBorder="1"/>
    <xf numFmtId="2" fontId="10" fillId="0" borderId="1" xfId="2" applyNumberFormat="1" applyFont="1" applyBorder="1"/>
    <xf numFmtId="4" fontId="10" fillId="0" borderId="1" xfId="2" applyNumberFormat="1" applyFont="1" applyBorder="1" applyAlignment="1">
      <alignment horizontal="right"/>
    </xf>
    <xf numFmtId="0" fontId="12" fillId="0" borderId="2" xfId="2" applyFont="1" applyBorder="1"/>
    <xf numFmtId="2" fontId="12" fillId="0" borderId="0" xfId="2" applyNumberFormat="1" applyFont="1"/>
    <xf numFmtId="0" fontId="12" fillId="0" borderId="3" xfId="2" applyFont="1" applyBorder="1"/>
    <xf numFmtId="0" fontId="12" fillId="0" borderId="0" xfId="2" applyFont="1"/>
    <xf numFmtId="4" fontId="12" fillId="0" borderId="0" xfId="2" applyNumberFormat="1" applyFont="1"/>
    <xf numFmtId="0" fontId="12" fillId="0" borderId="0" xfId="2" applyFont="1" applyAlignment="1">
      <alignment horizontal="center"/>
    </xf>
    <xf numFmtId="0" fontId="12" fillId="0" borderId="3" xfId="2" applyFont="1" applyBorder="1" applyAlignment="1">
      <alignment horizontal="center"/>
    </xf>
    <xf numFmtId="2" fontId="12" fillId="0" borderId="3" xfId="2" applyNumberFormat="1" applyFont="1" applyBorder="1" applyAlignment="1">
      <alignment horizontal="center"/>
    </xf>
    <xf numFmtId="2" fontId="12" fillId="0" borderId="5" xfId="2" applyNumberFormat="1" applyFont="1" applyBorder="1" applyAlignment="1">
      <alignment horizontal="center"/>
    </xf>
    <xf numFmtId="0" fontId="12" fillId="0" borderId="6" xfId="2" applyFont="1" applyBorder="1" applyAlignment="1">
      <alignment horizontal="center"/>
    </xf>
    <xf numFmtId="49" fontId="12" fillId="0" borderId="0" xfId="2" applyNumberFormat="1" applyFont="1" applyAlignment="1">
      <alignment horizontal="center"/>
    </xf>
    <xf numFmtId="0" fontId="12" fillId="0" borderId="7" xfId="2" applyFont="1" applyBorder="1" applyAlignment="1">
      <alignment horizontal="center"/>
    </xf>
    <xf numFmtId="2" fontId="12" fillId="0" borderId="7" xfId="2" applyNumberFormat="1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4" fontId="12" fillId="0" borderId="9" xfId="2" applyNumberFormat="1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2" fontId="13" fillId="0" borderId="2" xfId="2" applyNumberFormat="1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3" fillId="0" borderId="3" xfId="2" applyFont="1" applyBorder="1" applyAlignment="1">
      <alignment horizontal="center"/>
    </xf>
    <xf numFmtId="4" fontId="13" fillId="0" borderId="3" xfId="2" applyNumberFormat="1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2" fontId="10" fillId="0" borderId="3" xfId="2" applyNumberFormat="1" applyFont="1" applyBorder="1" applyAlignment="1">
      <alignment horizontal="right"/>
    </xf>
    <xf numFmtId="4" fontId="10" fillId="0" borderId="3" xfId="2" applyNumberFormat="1" applyFont="1" applyBorder="1" applyAlignment="1">
      <alignment horizontal="right"/>
    </xf>
    <xf numFmtId="0" fontId="10" fillId="0" borderId="2" xfId="2" applyFont="1" applyBorder="1"/>
    <xf numFmtId="2" fontId="13" fillId="0" borderId="2" xfId="2" applyNumberFormat="1" applyFont="1" applyBorder="1" applyAlignment="1">
      <alignment horizontal="right"/>
    </xf>
    <xf numFmtId="0" fontId="13" fillId="0" borderId="0" xfId="2" applyFont="1" applyAlignment="1">
      <alignment horizontal="right"/>
    </xf>
    <xf numFmtId="0" fontId="13" fillId="0" borderId="3" xfId="2" applyFont="1" applyBorder="1" applyAlignment="1">
      <alignment horizontal="right"/>
    </xf>
    <xf numFmtId="4" fontId="13" fillId="0" borderId="3" xfId="2" applyNumberFormat="1" applyFont="1" applyBorder="1" applyAlignment="1">
      <alignment horizontal="right"/>
    </xf>
    <xf numFmtId="0" fontId="10" fillId="0" borderId="2" xfId="2" applyFont="1" applyBorder="1" applyAlignment="1">
      <alignment horizontal="center"/>
    </xf>
    <xf numFmtId="2" fontId="10" fillId="0" borderId="2" xfId="2" applyNumberFormat="1" applyFont="1" applyBorder="1" applyAlignment="1">
      <alignment horizontal="right"/>
    </xf>
    <xf numFmtId="4" fontId="10" fillId="0" borderId="0" xfId="2" applyNumberFormat="1" applyFont="1" applyAlignment="1">
      <alignment horizontal="right"/>
    </xf>
    <xf numFmtId="0" fontId="10" fillId="0" borderId="3" xfId="2" applyFont="1" applyBorder="1" applyAlignment="1">
      <alignment horizontal="right"/>
    </xf>
    <xf numFmtId="0" fontId="10" fillId="0" borderId="2" xfId="2" applyFont="1" applyBorder="1" applyAlignment="1">
      <alignment horizontal="right"/>
    </xf>
    <xf numFmtId="2" fontId="10" fillId="0" borderId="5" xfId="2" applyNumberFormat="1" applyFont="1" applyBorder="1" applyAlignment="1">
      <alignment horizontal="right"/>
    </xf>
    <xf numFmtId="0" fontId="10" fillId="0" borderId="10" xfId="2" applyFont="1" applyBorder="1"/>
    <xf numFmtId="0" fontId="10" fillId="0" borderId="10" xfId="2" applyFont="1" applyBorder="1" applyAlignment="1">
      <alignment horizontal="center"/>
    </xf>
    <xf numFmtId="2" fontId="10" fillId="0" borderId="10" xfId="2" applyNumberFormat="1" applyFont="1" applyBorder="1" applyAlignment="1">
      <alignment horizontal="right"/>
    </xf>
    <xf numFmtId="4" fontId="10" fillId="0" borderId="11" xfId="2" applyNumberFormat="1" applyFont="1" applyBorder="1" applyAlignment="1">
      <alignment horizontal="right"/>
    </xf>
    <xf numFmtId="0" fontId="10" fillId="0" borderId="0" xfId="2" applyFont="1" applyAlignment="1">
      <alignment horizontal="center"/>
    </xf>
    <xf numFmtId="2" fontId="10" fillId="0" borderId="0" xfId="2" applyNumberFormat="1" applyFont="1" applyAlignment="1">
      <alignment horizontal="right"/>
    </xf>
    <xf numFmtId="0" fontId="10" fillId="0" borderId="5" xfId="2" applyFont="1" applyBorder="1" applyAlignment="1">
      <alignment horizontal="center"/>
    </xf>
    <xf numFmtId="2" fontId="10" fillId="0" borderId="12" xfId="2" applyNumberFormat="1" applyFont="1" applyBorder="1" applyAlignment="1">
      <alignment horizontal="right"/>
    </xf>
    <xf numFmtId="2" fontId="10" fillId="0" borderId="13" xfId="2" applyNumberFormat="1" applyFont="1" applyBorder="1" applyAlignment="1">
      <alignment horizontal="right"/>
    </xf>
    <xf numFmtId="49" fontId="10" fillId="0" borderId="13" xfId="2" applyNumberFormat="1" applyFont="1" applyBorder="1" applyAlignment="1">
      <alignment horizontal="right"/>
    </xf>
    <xf numFmtId="0" fontId="10" fillId="0" borderId="0" xfId="2" applyFont="1" applyAlignment="1">
      <alignment horizontal="right"/>
    </xf>
    <xf numFmtId="0" fontId="10" fillId="0" borderId="14" xfId="2" applyFont="1" applyBorder="1"/>
    <xf numFmtId="0" fontId="10" fillId="0" borderId="11" xfId="2" applyFont="1" applyBorder="1" applyAlignment="1">
      <alignment horizontal="center"/>
    </xf>
    <xf numFmtId="2" fontId="10" fillId="0" borderId="15" xfId="2" applyNumberFormat="1" applyFont="1" applyBorder="1" applyAlignment="1">
      <alignment horizontal="right"/>
    </xf>
    <xf numFmtId="49" fontId="13" fillId="0" borderId="0" xfId="2" applyNumberFormat="1" applyFont="1" applyAlignment="1">
      <alignment horizontal="center"/>
    </xf>
    <xf numFmtId="49" fontId="13" fillId="0" borderId="2" xfId="2" applyNumberFormat="1" applyFont="1" applyBorder="1" applyAlignment="1">
      <alignment horizontal="center"/>
    </xf>
    <xf numFmtId="0" fontId="13" fillId="0" borderId="2" xfId="2" applyFont="1" applyBorder="1"/>
    <xf numFmtId="49" fontId="13" fillId="0" borderId="14" xfId="2" applyNumberFormat="1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4" fontId="10" fillId="0" borderId="14" xfId="2" applyNumberFormat="1" applyFont="1" applyBorder="1" applyAlignment="1">
      <alignment horizontal="right"/>
    </xf>
    <xf numFmtId="0" fontId="10" fillId="0" borderId="17" xfId="2" applyFont="1" applyBorder="1" applyAlignment="1">
      <alignment horizontal="center"/>
    </xf>
    <xf numFmtId="2" fontId="10" fillId="0" borderId="17" xfId="2" applyNumberFormat="1" applyFont="1" applyBorder="1" applyAlignment="1">
      <alignment horizontal="right"/>
    </xf>
    <xf numFmtId="4" fontId="10" fillId="0" borderId="17" xfId="2" applyNumberFormat="1" applyFont="1" applyBorder="1" applyAlignment="1">
      <alignment horizontal="right"/>
    </xf>
    <xf numFmtId="0" fontId="13" fillId="0" borderId="0" xfId="2" applyFont="1"/>
    <xf numFmtId="0" fontId="10" fillId="0" borderId="13" xfId="2" applyFont="1" applyBorder="1" applyAlignment="1">
      <alignment horizontal="center"/>
    </xf>
    <xf numFmtId="0" fontId="13" fillId="0" borderId="18" xfId="2" applyFont="1" applyBorder="1" applyAlignment="1">
      <alignment horizontal="center"/>
    </xf>
    <xf numFmtId="0" fontId="13" fillId="0" borderId="19" xfId="2" applyFont="1" applyBorder="1" applyAlignment="1">
      <alignment horizontal="center"/>
    </xf>
    <xf numFmtId="0" fontId="10" fillId="0" borderId="14" xfId="2" applyFont="1" applyBorder="1" applyAlignment="1">
      <alignment horizontal="center"/>
    </xf>
    <xf numFmtId="2" fontId="10" fillId="0" borderId="20" xfId="2" applyNumberFormat="1" applyFont="1" applyBorder="1" applyAlignment="1">
      <alignment horizontal="right"/>
    </xf>
    <xf numFmtId="4" fontId="10" fillId="0" borderId="20" xfId="2" applyNumberFormat="1" applyFont="1" applyBorder="1" applyAlignment="1">
      <alignment horizontal="right"/>
    </xf>
    <xf numFmtId="0" fontId="10" fillId="0" borderId="18" xfId="2" applyFont="1" applyBorder="1" applyAlignment="1">
      <alignment horizontal="center"/>
    </xf>
    <xf numFmtId="0" fontId="13" fillId="0" borderId="10" xfId="2" applyFont="1" applyBorder="1"/>
    <xf numFmtId="0" fontId="12" fillId="0" borderId="4" xfId="2" applyFont="1" applyBorder="1"/>
    <xf numFmtId="0" fontId="12" fillId="0" borderId="16" xfId="2" applyFont="1" applyBorder="1"/>
    <xf numFmtId="0" fontId="11" fillId="0" borderId="0" xfId="2" applyFont="1"/>
    <xf numFmtId="0" fontId="14" fillId="0" borderId="0" xfId="2" applyFont="1"/>
    <xf numFmtId="14" fontId="0" fillId="0" borderId="0" xfId="0" applyNumberFormat="1"/>
    <xf numFmtId="166" fontId="0" fillId="0" borderId="0" xfId="0" applyNumberFormat="1"/>
    <xf numFmtId="0" fontId="0" fillId="0" borderId="0" xfId="0" applyAlignment="1">
      <alignment vertical="center"/>
    </xf>
    <xf numFmtId="0" fontId="15" fillId="0" borderId="0" xfId="0" applyFont="1"/>
    <xf numFmtId="10" fontId="15" fillId="0" borderId="0" xfId="0" applyNumberFormat="1" applyFont="1"/>
    <xf numFmtId="3" fontId="15" fillId="0" borderId="0" xfId="0" applyNumberFormat="1" applyFont="1"/>
    <xf numFmtId="0" fontId="0" fillId="0" borderId="0" xfId="0" applyAlignment="1">
      <alignment horizontal="right"/>
    </xf>
    <xf numFmtId="0" fontId="17" fillId="0" borderId="0" xfId="0" applyFont="1"/>
    <xf numFmtId="0" fontId="18" fillId="0" borderId="0" xfId="0" applyFont="1"/>
    <xf numFmtId="0" fontId="16" fillId="0" borderId="0" xfId="0" applyFont="1"/>
    <xf numFmtId="3" fontId="16" fillId="0" borderId="0" xfId="0" applyNumberFormat="1" applyFont="1"/>
    <xf numFmtId="4" fontId="16" fillId="0" borderId="0" xfId="0" applyNumberFormat="1" applyFont="1"/>
    <xf numFmtId="0" fontId="3" fillId="3" borderId="0" xfId="0" applyFont="1" applyFill="1"/>
    <xf numFmtId="0" fontId="9" fillId="0" borderId="0" xfId="0" applyFont="1" applyAlignment="1">
      <alignment vertical="center"/>
    </xf>
    <xf numFmtId="0" fontId="0" fillId="0" borderId="22" xfId="0" applyBorder="1"/>
    <xf numFmtId="10" fontId="0" fillId="0" borderId="22" xfId="0" applyNumberFormat="1" applyBorder="1"/>
    <xf numFmtId="4" fontId="0" fillId="0" borderId="22" xfId="0" applyNumberFormat="1" applyBorder="1"/>
    <xf numFmtId="3" fontId="0" fillId="0" borderId="22" xfId="0" applyNumberFormat="1" applyBorder="1"/>
    <xf numFmtId="4" fontId="3" fillId="0" borderId="0" xfId="0" applyNumberFormat="1" applyFont="1"/>
    <xf numFmtId="0" fontId="0" fillId="0" borderId="21" xfId="0" applyBorder="1"/>
    <xf numFmtId="10" fontId="0" fillId="0" borderId="21" xfId="0" applyNumberFormat="1" applyBorder="1"/>
    <xf numFmtId="9" fontId="0" fillId="0" borderId="21" xfId="0" applyNumberFormat="1" applyBorder="1"/>
    <xf numFmtId="9" fontId="5" fillId="0" borderId="0" xfId="1" applyFont="1"/>
    <xf numFmtId="0" fontId="3" fillId="0" borderId="0" xfId="0" applyFont="1" applyAlignment="1">
      <alignment horizontal="center"/>
    </xf>
    <xf numFmtId="0" fontId="19" fillId="0" borderId="0" xfId="0" applyFont="1"/>
    <xf numFmtId="0" fontId="3" fillId="0" borderId="23" xfId="0" applyFont="1" applyBorder="1"/>
    <xf numFmtId="3" fontId="3" fillId="0" borderId="23" xfId="0" applyNumberFormat="1" applyFont="1" applyBorder="1"/>
    <xf numFmtId="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23" xfId="0" applyNumberFormat="1" applyFont="1" applyBorder="1" applyAlignment="1">
      <alignment horizontal="right"/>
    </xf>
    <xf numFmtId="10" fontId="0" fillId="0" borderId="0" xfId="0" applyNumberFormat="1" applyAlignment="1">
      <alignment horizontal="right"/>
    </xf>
  </cellXfs>
  <cellStyles count="3">
    <cellStyle name="Normal" xfId="0" builtinId="0"/>
    <cellStyle name="Normal_ipca_201707SerieHist" xfId="2" xr:uid="{5E97F426-11DB-FA47-AF7A-F71A521A7C6F}"/>
    <cellStyle name="Porcentagem" xfId="1" builtinId="5"/>
  </cellStyles>
  <dxfs count="59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eetMetadata" Target="metadata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'Valuation (FCF) Guara'!$AA$177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,,;\-#,##0,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'Valuation (FCF) Guara'!$AB$177:$BE$177</c:f>
              <c:numCache>
                <c:formatCode>#,##0</c:formatCode>
                <c:ptCount val="30"/>
                <c:pt idx="0">
                  <c:v>1742221.8755712365</c:v>
                </c:pt>
                <c:pt idx="1">
                  <c:v>1893090.8437057261</c:v>
                </c:pt>
                <c:pt idx="2">
                  <c:v>2036683.7132115436</c:v>
                </c:pt>
                <c:pt idx="3">
                  <c:v>2042093.4262758885</c:v>
                </c:pt>
                <c:pt idx="4">
                  <c:v>2185991.1335645104</c:v>
                </c:pt>
                <c:pt idx="5">
                  <c:v>2354791.8516631494</c:v>
                </c:pt>
                <c:pt idx="6">
                  <c:v>2414090.0598511319</c:v>
                </c:pt>
                <c:pt idx="7">
                  <c:v>2474082.1150846132</c:v>
                </c:pt>
                <c:pt idx="8">
                  <c:v>2533576.8768100827</c:v>
                </c:pt>
                <c:pt idx="9">
                  <c:v>2598937.8795479191</c:v>
                </c:pt>
                <c:pt idx="10">
                  <c:v>2635873.1727133594</c:v>
                </c:pt>
                <c:pt idx="11">
                  <c:v>2668905.7368815942</c:v>
                </c:pt>
                <c:pt idx="12">
                  <c:v>2701989.5868315464</c:v>
                </c:pt>
                <c:pt idx="13">
                  <c:v>2734668.8400145527</c:v>
                </c:pt>
                <c:pt idx="14">
                  <c:v>2766573.911729509</c:v>
                </c:pt>
                <c:pt idx="15">
                  <c:v>2798852.6464855028</c:v>
                </c:pt>
                <c:pt idx="16">
                  <c:v>2811679.1859646505</c:v>
                </c:pt>
                <c:pt idx="17">
                  <c:v>2824272.7415482025</c:v>
                </c:pt>
                <c:pt idx="18">
                  <c:v>2836394.2896556323</c:v>
                </c:pt>
                <c:pt idx="19">
                  <c:v>2846833.92413923</c:v>
                </c:pt>
                <c:pt idx="20">
                  <c:v>2858275.1391621442</c:v>
                </c:pt>
                <c:pt idx="21">
                  <c:v>2869039.5758214653</c:v>
                </c:pt>
                <c:pt idx="22">
                  <c:v>2879334.2452875571</c:v>
                </c:pt>
                <c:pt idx="23">
                  <c:v>2888736.4850892983</c:v>
                </c:pt>
                <c:pt idx="24">
                  <c:v>2897548.7746239197</c:v>
                </c:pt>
                <c:pt idx="25">
                  <c:v>2905142.907619793</c:v>
                </c:pt>
                <c:pt idx="26">
                  <c:v>2913852.4991704863</c:v>
                </c:pt>
                <c:pt idx="27">
                  <c:v>2921326.0723829865</c:v>
                </c:pt>
                <c:pt idx="28">
                  <c:v>2927901.7738863989</c:v>
                </c:pt>
                <c:pt idx="29">
                  <c:v>2934230.6748631569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5-C04F-AED7-E9754FA99B3B}"/>
            </c:ext>
          </c:extLst>
        </c:ser>
        <c:ser>
          <c:idx val="2"/>
          <c:order val="2"/>
          <c:tx>
            <c:strRef>
              <c:f>'Valuation (FCF) Guara'!$C$186</c:f>
              <c:strCache>
                <c:ptCount val="1"/>
                <c:pt idx="0">
                  <c:v>Lucro Líquido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'Valuation (FCF) Guara'!$AB$186:$BE$186</c:f>
              <c:numCache>
                <c:formatCode>#,##0</c:formatCode>
                <c:ptCount val="30"/>
                <c:pt idx="0">
                  <c:v>989913.73838102538</c:v>
                </c:pt>
                <c:pt idx="1">
                  <c:v>1039239.8152141994</c:v>
                </c:pt>
                <c:pt idx="2">
                  <c:v>1100529.580918917</c:v>
                </c:pt>
                <c:pt idx="3">
                  <c:v>1068183.0978472577</c:v>
                </c:pt>
                <c:pt idx="4">
                  <c:v>1112518.4222998694</c:v>
                </c:pt>
                <c:pt idx="5">
                  <c:v>1213416.583345924</c:v>
                </c:pt>
                <c:pt idx="6">
                  <c:v>1243279.3434021682</c:v>
                </c:pt>
                <c:pt idx="7">
                  <c:v>1273981.1525497041</c:v>
                </c:pt>
                <c:pt idx="8">
                  <c:v>1300126.171642025</c:v>
                </c:pt>
                <c:pt idx="9">
                  <c:v>1297933.5888335276</c:v>
                </c:pt>
                <c:pt idx="10">
                  <c:v>1314298.8052851383</c:v>
                </c:pt>
                <c:pt idx="11">
                  <c:v>1331729.4992602831</c:v>
                </c:pt>
                <c:pt idx="12">
                  <c:v>1349150.936286378</c:v>
                </c:pt>
                <c:pt idx="13">
                  <c:v>1366239.0305735837</c:v>
                </c:pt>
                <c:pt idx="14">
                  <c:v>1382647.6538970401</c:v>
                </c:pt>
                <c:pt idx="15">
                  <c:v>1399689.1336642401</c:v>
                </c:pt>
                <c:pt idx="16">
                  <c:v>1404613.5274650743</c:v>
                </c:pt>
                <c:pt idx="17">
                  <c:v>1409140.8234286369</c:v>
                </c:pt>
                <c:pt idx="18">
                  <c:v>1418324.0222486705</c:v>
                </c:pt>
                <c:pt idx="19">
                  <c:v>1414779.7009719685</c:v>
                </c:pt>
                <c:pt idx="20">
                  <c:v>1417960.715039626</c:v>
                </c:pt>
                <c:pt idx="21">
                  <c:v>1424882.7277317885</c:v>
                </c:pt>
                <c:pt idx="22">
                  <c:v>1430347.8019657354</c:v>
                </c:pt>
                <c:pt idx="23">
                  <c:v>1434159.2372059247</c:v>
                </c:pt>
                <c:pt idx="24">
                  <c:v>1435581.1662690667</c:v>
                </c:pt>
                <c:pt idx="25">
                  <c:v>1430585.8726182505</c:v>
                </c:pt>
                <c:pt idx="26">
                  <c:v>1424919.7565134694</c:v>
                </c:pt>
                <c:pt idx="27">
                  <c:v>1410788.5892752013</c:v>
                </c:pt>
                <c:pt idx="28">
                  <c:v>1380575.1876112653</c:v>
                </c:pt>
                <c:pt idx="29">
                  <c:v>1302841.2494029822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C-6D47-A4A9-7FCEB6B96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8934767"/>
        <c:axId val="1868790079"/>
      </c:barChart>
      <c:lineChart>
        <c:grouping val="standard"/>
        <c:varyColors val="0"/>
        <c:ser>
          <c:idx val="1"/>
          <c:order val="1"/>
          <c:tx>
            <c:strRef>
              <c:f>'Valuation (FCF) Guara'!$AA$178</c:f>
              <c:strCache>
                <c:ptCount val="1"/>
                <c:pt idx="0">
                  <c:v>Margem EBITDA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'Valuation (FCF) Guara'!$AB$178:$BE$178</c:f>
              <c:numCache>
                <c:formatCode>0%</c:formatCode>
                <c:ptCount val="30"/>
                <c:pt idx="0">
                  <c:v>0.2446164007116641</c:v>
                </c:pt>
                <c:pt idx="1">
                  <c:v>0.26097782539137609</c:v>
                </c:pt>
                <c:pt idx="2">
                  <c:v>0.27685963368453986</c:v>
                </c:pt>
                <c:pt idx="3">
                  <c:v>0.27379099946758567</c:v>
                </c:pt>
                <c:pt idx="4">
                  <c:v>0.28913600349373841</c:v>
                </c:pt>
                <c:pt idx="5">
                  <c:v>0.30658619408095128</c:v>
                </c:pt>
                <c:pt idx="6">
                  <c:v>0.31252904641378898</c:v>
                </c:pt>
                <c:pt idx="7">
                  <c:v>0.31852880901478986</c:v>
                </c:pt>
                <c:pt idx="8">
                  <c:v>0.32443464055214449</c:v>
                </c:pt>
                <c:pt idx="9">
                  <c:v>0.33106127621271725</c:v>
                </c:pt>
                <c:pt idx="10">
                  <c:v>0.3340543838521724</c:v>
                </c:pt>
                <c:pt idx="11">
                  <c:v>0.33656341157417663</c:v>
                </c:pt>
                <c:pt idx="12">
                  <c:v>0.33909325728324685</c:v>
                </c:pt>
                <c:pt idx="13">
                  <c:v>0.34158819585748923</c:v>
                </c:pt>
                <c:pt idx="14">
                  <c:v>0.34400426481241214</c:v>
                </c:pt>
                <c:pt idx="15">
                  <c:v>0.34648610636300975</c:v>
                </c:pt>
                <c:pt idx="16">
                  <c:v>0.34741961743066035</c:v>
                </c:pt>
                <c:pt idx="17">
                  <c:v>0.34836643925788202</c:v>
                </c:pt>
                <c:pt idx="18">
                  <c:v>0.34929768741705158</c:v>
                </c:pt>
                <c:pt idx="19">
                  <c:v>0.3500652572907002</c:v>
                </c:pt>
                <c:pt idx="20">
                  <c:v>0.35099992676389247</c:v>
                </c:pt>
                <c:pt idx="21">
                  <c:v>0.35189573379658884</c:v>
                </c:pt>
                <c:pt idx="22">
                  <c:v>0.35277871582015574</c:v>
                </c:pt>
                <c:pt idx="23">
                  <c:v>0.35359768874393177</c:v>
                </c:pt>
                <c:pt idx="24">
                  <c:v>0.35439029595778504</c:v>
                </c:pt>
                <c:pt idx="25">
                  <c:v>0.3550802578662276</c:v>
                </c:pt>
                <c:pt idx="26">
                  <c:v>0.35595323286207764</c:v>
                </c:pt>
                <c:pt idx="27">
                  <c:v>0.35672222228513206</c:v>
                </c:pt>
                <c:pt idx="28">
                  <c:v>0.35742900590886811</c:v>
                </c:pt>
                <c:pt idx="29">
                  <c:v>0.35815343407506084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55-C04F-AED7-E9754FA99B3B}"/>
            </c:ext>
          </c:extLst>
        </c:ser>
        <c:ser>
          <c:idx val="3"/>
          <c:order val="3"/>
          <c:tx>
            <c:strRef>
              <c:f>'Valuation (FCF) Guara'!$C$187</c:f>
              <c:strCache>
                <c:ptCount val="1"/>
                <c:pt idx="0">
                  <c:v>Margem Líquida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'Valuation (FCF) Guara'!$AB$187:$BE$187</c:f>
              <c:numCache>
                <c:formatCode>0%</c:formatCode>
                <c:ptCount val="30"/>
                <c:pt idx="0">
                  <c:v>0.13898868972609985</c:v>
                </c:pt>
                <c:pt idx="1">
                  <c:v>0.14326758165700432</c:v>
                </c:pt>
                <c:pt idx="2">
                  <c:v>0.14960212754476138</c:v>
                </c:pt>
                <c:pt idx="3">
                  <c:v>0.14321524872999181</c:v>
                </c:pt>
                <c:pt idx="4">
                  <c:v>0.14715024480105041</c:v>
                </c:pt>
                <c:pt idx="5">
                  <c:v>0.15798286878731516</c:v>
                </c:pt>
                <c:pt idx="6">
                  <c:v>0.16095543164756765</c:v>
                </c:pt>
                <c:pt idx="7">
                  <c:v>0.16402030343082136</c:v>
                </c:pt>
                <c:pt idx="8">
                  <c:v>0.16648635019916733</c:v>
                </c:pt>
                <c:pt idx="9">
                  <c:v>0.16533506004126761</c:v>
                </c:pt>
                <c:pt idx="10">
                  <c:v>0.16656616188601339</c:v>
                </c:pt>
                <c:pt idx="11">
                  <c:v>0.16793827424145391</c:v>
                </c:pt>
                <c:pt idx="12">
                  <c:v>0.16931522896376427</c:v>
                </c:pt>
                <c:pt idx="13">
                  <c:v>0.17065727254976584</c:v>
                </c:pt>
                <c:pt idx="14">
                  <c:v>0.17192263964352789</c:v>
                </c:pt>
                <c:pt idx="15">
                  <c:v>0.17327558799885853</c:v>
                </c:pt>
                <c:pt idx="16">
                  <c:v>0.17355831233726737</c:v>
                </c:pt>
                <c:pt idx="17">
                  <c:v>0.17381372692838978</c:v>
                </c:pt>
                <c:pt idx="18">
                  <c:v>0.17466446847192749</c:v>
                </c:pt>
                <c:pt idx="19">
                  <c:v>0.17397053471609189</c:v>
                </c:pt>
                <c:pt idx="20">
                  <c:v>0.17412743102082154</c:v>
                </c:pt>
                <c:pt idx="21">
                  <c:v>0.174765854495297</c:v>
                </c:pt>
                <c:pt idx="22">
                  <c:v>0.17524754605322346</c:v>
                </c:pt>
                <c:pt idx="23">
                  <c:v>0.17554920436126209</c:v>
                </c:pt>
                <c:pt idx="24">
                  <c:v>0.17558152561264462</c:v>
                </c:pt>
                <c:pt idx="25">
                  <c:v>0.17485294758365497</c:v>
                </c:pt>
                <c:pt idx="26">
                  <c:v>0.17406673606313453</c:v>
                </c:pt>
                <c:pt idx="27">
                  <c:v>0.17227095787025132</c:v>
                </c:pt>
                <c:pt idx="28">
                  <c:v>0.16853626077603845</c:v>
                </c:pt>
                <c:pt idx="29">
                  <c:v>0.15902535254835831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EC-6D47-A4A9-7FCEB6B96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889088"/>
        <c:axId val="179976880"/>
      </c:lineChart>
      <c:catAx>
        <c:axId val="186893476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68790079"/>
        <c:crosses val="autoZero"/>
        <c:auto val="1"/>
        <c:lblAlgn val="ctr"/>
        <c:lblOffset val="100"/>
        <c:noMultiLvlLbl val="0"/>
      </c:catAx>
      <c:valAx>
        <c:axId val="1868790079"/>
        <c:scaling>
          <c:orientation val="minMax"/>
          <c:max val="5000000"/>
        </c:scaling>
        <c:delete val="0"/>
        <c:axPos val="l"/>
        <c:numFmt formatCode=";;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68934767"/>
        <c:crosses val="autoZero"/>
        <c:crossBetween val="between"/>
      </c:valAx>
      <c:valAx>
        <c:axId val="179976880"/>
        <c:scaling>
          <c:orientation val="minMax"/>
        </c:scaling>
        <c:delete val="0"/>
        <c:axPos val="r"/>
        <c:numFmt formatCode=";;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9889088"/>
        <c:crosses val="max"/>
        <c:crossBetween val="between"/>
      </c:valAx>
      <c:catAx>
        <c:axId val="179889088"/>
        <c:scaling>
          <c:orientation val="minMax"/>
        </c:scaling>
        <c:delete val="1"/>
        <c:axPos val="b"/>
        <c:majorTickMark val="out"/>
        <c:minorTickMark val="none"/>
        <c:tickLblPos val="nextTo"/>
        <c:crossAx val="17997688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'Valuation (FCF) Guara'!$AA$203</c:f>
              <c:strCache>
                <c:ptCount val="1"/>
                <c:pt idx="0">
                  <c:v>Fluxo de Caixa, após atividades de investimentos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,,;\-#,##0,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'Valuation (FCF) Guara'!$AB$203:$BE$203</c:f>
              <c:numCache>
                <c:formatCode>#,##0</c:formatCode>
                <c:ptCount val="30"/>
                <c:pt idx="0">
                  <c:v>-6038310.9364428082</c:v>
                </c:pt>
                <c:pt idx="1">
                  <c:v>-1265740.2834671908</c:v>
                </c:pt>
                <c:pt idx="2">
                  <c:v>-446732.34447888867</c:v>
                </c:pt>
                <c:pt idx="3">
                  <c:v>-540131.13333454356</c:v>
                </c:pt>
                <c:pt idx="4">
                  <c:v>-1143115.1085764901</c:v>
                </c:pt>
                <c:pt idx="5">
                  <c:v>740279.9156562197</c:v>
                </c:pt>
                <c:pt idx="6">
                  <c:v>830472.48985061795</c:v>
                </c:pt>
                <c:pt idx="7">
                  <c:v>885347.49343372812</c:v>
                </c:pt>
                <c:pt idx="8">
                  <c:v>738999.85694040754</c:v>
                </c:pt>
                <c:pt idx="9">
                  <c:v>-617545.00301936688</c:v>
                </c:pt>
                <c:pt idx="10">
                  <c:v>999278.94410108216</c:v>
                </c:pt>
                <c:pt idx="11">
                  <c:v>1183117.1928852596</c:v>
                </c:pt>
                <c:pt idx="12">
                  <c:v>1214818.3761912982</c:v>
                </c:pt>
                <c:pt idx="13">
                  <c:v>1247707.8633105785</c:v>
                </c:pt>
                <c:pt idx="14">
                  <c:v>1278689.181118527</c:v>
                </c:pt>
                <c:pt idx="15">
                  <c:v>1334062.5242424302</c:v>
                </c:pt>
                <c:pt idx="16">
                  <c:v>1391179.1027184927</c:v>
                </c:pt>
                <c:pt idx="17">
                  <c:v>1415548.9311924179</c:v>
                </c:pt>
                <c:pt idx="18">
                  <c:v>1619220.0956640621</c:v>
                </c:pt>
                <c:pt idx="19">
                  <c:v>1280065.1579485065</c:v>
                </c:pt>
                <c:pt idx="20">
                  <c:v>1514076.1798807341</c:v>
                </c:pt>
                <c:pt idx="21">
                  <c:v>1678417.886023293</c:v>
                </c:pt>
                <c:pt idx="22">
                  <c:v>1692200.2174499037</c:v>
                </c:pt>
                <c:pt idx="23">
                  <c:v>1715795.0402320945</c:v>
                </c:pt>
                <c:pt idx="24">
                  <c:v>1729043.2167994466</c:v>
                </c:pt>
                <c:pt idx="25">
                  <c:v>1693537.0956927161</c:v>
                </c:pt>
                <c:pt idx="26">
                  <c:v>1760552.6257496676</c:v>
                </c:pt>
                <c:pt idx="27">
                  <c:v>1775305.891175821</c:v>
                </c:pt>
                <c:pt idx="28">
                  <c:v>1797446.0723242913</c:v>
                </c:pt>
                <c:pt idx="29">
                  <c:v>1843819.7293477408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13-BD4C-A5D7-C57236234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8934767"/>
        <c:axId val="1868790079"/>
      </c:barChart>
      <c:lineChart>
        <c:grouping val="standard"/>
        <c:varyColors val="0"/>
        <c:ser>
          <c:idx val="1"/>
          <c:order val="1"/>
          <c:tx>
            <c:strRef>
              <c:f>'Valuation (FCF) Guara'!$AA$204</c:f>
              <c:strCache>
                <c:ptCount val="1"/>
                <c:pt idx="0">
                  <c:v>Fluxo de Caixa, após atividades de investimentos - Acumulado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numFmt formatCode="#,##0,,;\-#,##0,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'Valuation (FCF) Guara'!$AB$204:$BE$204</c:f>
              <c:numCache>
                <c:formatCode>#,##0</c:formatCode>
                <c:ptCount val="30"/>
                <c:pt idx="0">
                  <c:v>-6038310.9364428082</c:v>
                </c:pt>
                <c:pt idx="1">
                  <c:v>-7304051.2199099995</c:v>
                </c:pt>
                <c:pt idx="2">
                  <c:v>-7750783.564388888</c:v>
                </c:pt>
                <c:pt idx="3">
                  <c:v>-8290914.6977234315</c:v>
                </c:pt>
                <c:pt idx="4">
                  <c:v>-9434029.8062999211</c:v>
                </c:pt>
                <c:pt idx="5">
                  <c:v>-8693749.890643701</c:v>
                </c:pt>
                <c:pt idx="6">
                  <c:v>-7863277.400793083</c:v>
                </c:pt>
                <c:pt idx="7">
                  <c:v>-6977929.9073593551</c:v>
                </c:pt>
                <c:pt idx="8">
                  <c:v>-6238930.0504189478</c:v>
                </c:pt>
                <c:pt idx="9">
                  <c:v>-6856475.0534383152</c:v>
                </c:pt>
                <c:pt idx="10">
                  <c:v>-5857196.109337233</c:v>
                </c:pt>
                <c:pt idx="11">
                  <c:v>-4674078.9164519738</c:v>
                </c:pt>
                <c:pt idx="12">
                  <c:v>-3459260.5402606754</c:v>
                </c:pt>
                <c:pt idx="13">
                  <c:v>-2211552.6769500971</c:v>
                </c:pt>
                <c:pt idx="14">
                  <c:v>-932863.49583157012</c:v>
                </c:pt>
                <c:pt idx="15">
                  <c:v>401199.0284108601</c:v>
                </c:pt>
                <c:pt idx="16">
                  <c:v>1792378.1311293528</c:v>
                </c:pt>
                <c:pt idx="17">
                  <c:v>3207927.0623217709</c:v>
                </c:pt>
                <c:pt idx="18">
                  <c:v>4827147.1579858325</c:v>
                </c:pt>
                <c:pt idx="19">
                  <c:v>6107212.3159343395</c:v>
                </c:pt>
                <c:pt idx="20">
                  <c:v>7621288.4958150741</c:v>
                </c:pt>
                <c:pt idx="21">
                  <c:v>9299706.3818383664</c:v>
                </c:pt>
                <c:pt idx="22">
                  <c:v>10991906.59928827</c:v>
                </c:pt>
                <c:pt idx="23">
                  <c:v>12707701.639520364</c:v>
                </c:pt>
                <c:pt idx="24">
                  <c:v>14436744.856319811</c:v>
                </c:pt>
                <c:pt idx="25">
                  <c:v>16130281.952012528</c:v>
                </c:pt>
                <c:pt idx="26">
                  <c:v>17890834.577762194</c:v>
                </c:pt>
                <c:pt idx="27">
                  <c:v>19666140.468938015</c:v>
                </c:pt>
                <c:pt idx="28">
                  <c:v>21463586.541262306</c:v>
                </c:pt>
                <c:pt idx="29">
                  <c:v>23307406.270610046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13-BD4C-A5D7-C57236234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934767"/>
        <c:axId val="1868790079"/>
      </c:lineChart>
      <c:catAx>
        <c:axId val="186893476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68790079"/>
        <c:crosses val="autoZero"/>
        <c:auto val="1"/>
        <c:lblAlgn val="ctr"/>
        <c:lblOffset val="100"/>
        <c:noMultiLvlLbl val="0"/>
      </c:catAx>
      <c:valAx>
        <c:axId val="1868790079"/>
        <c:scaling>
          <c:orientation val="minMax"/>
          <c:max val="50000000"/>
        </c:scaling>
        <c:delete val="0"/>
        <c:axPos val="l"/>
        <c:numFmt formatCode=";;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68934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'Valuation (FCF) Guara'!$AA$164</c:f>
              <c:strCache>
                <c:ptCount val="1"/>
                <c:pt idx="0">
                  <c:v>Custos e Despesas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,,;\-#,##0,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'Valuation (FCF) Guara'!$AB$164:$BE$164</c:f>
              <c:numCache>
                <c:formatCode>General</c:formatCode>
                <c:ptCount val="30"/>
                <c:pt idx="0">
                  <c:v>4984625.9291067198</c:v>
                </c:pt>
                <c:pt idx="1">
                  <c:v>4988795.5823909203</c:v>
                </c:pt>
                <c:pt idx="2">
                  <c:v>4973685.1131095784</c:v>
                </c:pt>
                <c:pt idx="3">
                  <c:v>5097311.5342375077</c:v>
                </c:pt>
                <c:pt idx="4">
                  <c:v>5082963.0464642802</c:v>
                </c:pt>
                <c:pt idx="5">
                  <c:v>5062362.5462406641</c:v>
                </c:pt>
                <c:pt idx="6">
                  <c:v>5045251.0980820581</c:v>
                </c:pt>
                <c:pt idx="7">
                  <c:v>5026634.9100881498</c:v>
                </c:pt>
                <c:pt idx="8">
                  <c:v>5007689.0849754782</c:v>
                </c:pt>
                <c:pt idx="9">
                  <c:v>4982034.3107110886</c:v>
                </c:pt>
                <c:pt idx="10">
                  <c:v>4983947.0308872405</c:v>
                </c:pt>
                <c:pt idx="11">
                  <c:v>4988889.038516813</c:v>
                </c:pt>
                <c:pt idx="12">
                  <c:v>4992891.3829057207</c:v>
                </c:pt>
                <c:pt idx="13">
                  <c:v>4996395.3109471072</c:v>
                </c:pt>
                <c:pt idx="14">
                  <c:v>4999756.081546885</c:v>
                </c:pt>
                <c:pt idx="15">
                  <c:v>5001811.8436907493</c:v>
                </c:pt>
                <c:pt idx="16">
                  <c:v>5003677.7515649823</c:v>
                </c:pt>
                <c:pt idx="17">
                  <c:v>5004752.8791929903</c:v>
                </c:pt>
                <c:pt idx="18">
                  <c:v>5005270.644083187</c:v>
                </c:pt>
                <c:pt idx="19">
                  <c:v>5006435.7512104362</c:v>
                </c:pt>
                <c:pt idx="20">
                  <c:v>5005559.9136995701</c:v>
                </c:pt>
                <c:pt idx="21">
                  <c:v>5004317.109495841</c:v>
                </c:pt>
                <c:pt idx="22">
                  <c:v>5002496.361247913</c:v>
                </c:pt>
                <c:pt idx="23">
                  <c:v>5000516.7827707687</c:v>
                </c:pt>
                <c:pt idx="24">
                  <c:v>4998072.7660072744</c:v>
                </c:pt>
                <c:pt idx="25">
                  <c:v>4995789.8107575867</c:v>
                </c:pt>
                <c:pt idx="26">
                  <c:v>4991332.0195559338</c:v>
                </c:pt>
                <c:pt idx="27">
                  <c:v>4987049.0126500363</c:v>
                </c:pt>
                <c:pt idx="28">
                  <c:v>4982601.2138351705</c:v>
                </c:pt>
                <c:pt idx="29">
                  <c:v>4977336.550479562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F-0249-A4EB-50102CD16F22}"/>
            </c:ext>
          </c:extLst>
        </c:ser>
        <c:ser>
          <c:idx val="2"/>
          <c:order val="2"/>
          <c:tx>
            <c:strRef>
              <c:f>'Valuation (FCF) Guara'!$AA$197</c:f>
              <c:strCache>
                <c:ptCount val="1"/>
                <c:pt idx="0">
                  <c:v>Investimentos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,,;\-#,##0,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'Valuation (FCF) Guara'!$AB$197:$BE$197</c:f>
              <c:numCache>
                <c:formatCode>#,##0</c:formatCode>
                <c:ptCount val="30"/>
                <c:pt idx="0">
                  <c:v>7270577.2498177588</c:v>
                </c:pt>
                <c:pt idx="1">
                  <c:v>2623465.1617595414</c:v>
                </c:pt>
                <c:pt idx="2">
                  <c:v>1916476.5766109901</c:v>
                </c:pt>
                <c:pt idx="3">
                  <c:v>2031948.4182951781</c:v>
                </c:pt>
                <c:pt idx="4">
                  <c:v>2755990.6912592496</c:v>
                </c:pt>
                <c:pt idx="5">
                  <c:v>989418.54458630225</c:v>
                </c:pt>
                <c:pt idx="6">
                  <c:v>943140.33249030588</c:v>
                </c:pt>
                <c:pt idx="7">
                  <c:v>932441.30064043147</c:v>
                </c:pt>
                <c:pt idx="8">
                  <c:v>1124815.052660147</c:v>
                </c:pt>
                <c:pt idx="9">
                  <c:v>2547850.4277136507</c:v>
                </c:pt>
                <c:pt idx="10">
                  <c:v>959531.20770781185</c:v>
                </c:pt>
                <c:pt idx="11">
                  <c:v>799746.07468043105</c:v>
                </c:pt>
                <c:pt idx="12">
                  <c:v>792154.06164423516</c:v>
                </c:pt>
                <c:pt idx="13">
                  <c:v>783140.87004485517</c:v>
                </c:pt>
                <c:pt idx="14">
                  <c:v>775611.69678523403</c:v>
                </c:pt>
                <c:pt idx="15">
                  <c:v>743738.14429482748</c:v>
                </c:pt>
                <c:pt idx="16">
                  <c:v>696911.29637021036</c:v>
                </c:pt>
                <c:pt idx="17">
                  <c:v>682802.78010466858</c:v>
                </c:pt>
                <c:pt idx="18">
                  <c:v>486522.42495437618</c:v>
                </c:pt>
                <c:pt idx="19">
                  <c:v>837942.85962940659</c:v>
                </c:pt>
                <c:pt idx="20">
                  <c:v>613734.3485034206</c:v>
                </c:pt>
                <c:pt idx="21">
                  <c:v>456591.19369391754</c:v>
                </c:pt>
                <c:pt idx="22">
                  <c:v>450288.19046136527</c:v>
                </c:pt>
                <c:pt idx="23">
                  <c:v>434132.14084203029</c:v>
                </c:pt>
                <c:pt idx="24">
                  <c:v>428963.74489798414</c:v>
                </c:pt>
                <c:pt idx="25">
                  <c:v>474637.33209343255</c:v>
                </c:pt>
                <c:pt idx="26">
                  <c:v>419250.3018835769</c:v>
                </c:pt>
                <c:pt idx="27">
                  <c:v>419250.3018835769</c:v>
                </c:pt>
                <c:pt idx="28">
                  <c:v>419250.3018835769</c:v>
                </c:pt>
                <c:pt idx="29">
                  <c:v>419250.3018835769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3F-0249-A4EB-50102CD16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868934767"/>
        <c:axId val="1868790079"/>
      </c:barChart>
      <c:lineChart>
        <c:grouping val="standard"/>
        <c:varyColors val="0"/>
        <c:ser>
          <c:idx val="0"/>
          <c:order val="0"/>
          <c:tx>
            <c:strRef>
              <c:f>'Valuation (FCF) Guara'!$AA$163</c:f>
              <c:strCache>
                <c:ptCount val="1"/>
                <c:pt idx="0">
                  <c:v>Receita Líquida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#,##0,,;\-#,##0,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'Valuation (FCF) Guara'!$AB$163:$BE$163</c:f>
              <c:numCache>
                <c:formatCode>#,##0</c:formatCode>
                <c:ptCount val="30"/>
                <c:pt idx="0">
                  <c:v>7122261.1014738949</c:v>
                </c:pt>
                <c:pt idx="1">
                  <c:v>7253837.910813868</c:v>
                </c:pt>
                <c:pt idx="2">
                  <c:v>7356376.5367550366</c:v>
                </c:pt>
                <c:pt idx="3">
                  <c:v>7458584.9434311064</c:v>
                </c:pt>
                <c:pt idx="4">
                  <c:v>7560425.2225608788</c:v>
                </c:pt>
                <c:pt idx="5">
                  <c:v>7680684.5746008651</c:v>
                </c:pt>
                <c:pt idx="6">
                  <c:v>7724370.2227116274</c:v>
                </c:pt>
                <c:pt idx="7">
                  <c:v>7767216.1671559736</c:v>
                </c:pt>
                <c:pt idx="8">
                  <c:v>7809205.8002754357</c:v>
                </c:pt>
                <c:pt idx="9">
                  <c:v>7850322.7839852218</c:v>
                </c:pt>
                <c:pt idx="10">
                  <c:v>7890551.0603321427</c:v>
                </c:pt>
                <c:pt idx="11">
                  <c:v>7929874.8619125606</c:v>
                </c:pt>
                <c:pt idx="12">
                  <c:v>7968278.7221409027</c:v>
                </c:pt>
                <c:pt idx="13">
                  <c:v>8005747.4853594117</c:v>
                </c:pt>
                <c:pt idx="14">
                  <c:v>8042266.3167799404</c:v>
                </c:pt>
                <c:pt idx="15">
                  <c:v>8077820.7122486327</c:v>
                </c:pt>
                <c:pt idx="16">
                  <c:v>8093035.1796435863</c:v>
                </c:pt>
                <c:pt idx="17">
                  <c:v>8107189.508738826</c:v>
                </c:pt>
                <c:pt idx="18">
                  <c:v>8120277.894279494</c:v>
                </c:pt>
                <c:pt idx="19">
                  <c:v>8132294.9502959969</c:v>
                </c:pt>
                <c:pt idx="20">
                  <c:v>8143235.7137921099</c:v>
                </c:pt>
                <c:pt idx="21">
                  <c:v>8153095.64815553</c:v>
                </c:pt>
                <c:pt idx="22">
                  <c:v>8161870.64628758</c:v>
                </c:pt>
                <c:pt idx="23">
                  <c:v>8169557.0334490007</c:v>
                </c:pt>
                <c:pt idx="24">
                  <c:v>8176151.569819157</c:v>
                </c:pt>
                <c:pt idx="25">
                  <c:v>8181651.4527661297</c:v>
                </c:pt>
                <c:pt idx="26">
                  <c:v>8186054.3188254349</c:v>
                </c:pt>
                <c:pt idx="27">
                  <c:v>8189358.2453855034</c:v>
                </c:pt>
                <c:pt idx="28">
                  <c:v>8191561.7520781495</c:v>
                </c:pt>
                <c:pt idx="29">
                  <c:v>8192663.8018727154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3F-0249-A4EB-50102CD16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934767"/>
        <c:axId val="1868790079"/>
      </c:lineChart>
      <c:catAx>
        <c:axId val="186893476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68790079"/>
        <c:crosses val="autoZero"/>
        <c:auto val="1"/>
        <c:lblAlgn val="ctr"/>
        <c:lblOffset val="100"/>
        <c:noMultiLvlLbl val="0"/>
      </c:catAx>
      <c:valAx>
        <c:axId val="1868790079"/>
        <c:scaling>
          <c:orientation val="minMax"/>
        </c:scaling>
        <c:delete val="0"/>
        <c:axPos val="l"/>
        <c:numFmt formatCode=";;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68934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'Valuation (FCF) Guara'!$AA$216</c:f>
              <c:strCache>
                <c:ptCount val="1"/>
                <c:pt idx="0">
                  <c:v>Fluxo de Caixa, após atividades de financiamento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'Valuation (FCF) Guara'!$AB$216:$BE$216</c:f>
              <c:numCache>
                <c:formatCode>#,##0</c:formatCode>
                <c:ptCount val="30"/>
                <c:pt idx="0">
                  <c:v>-2511060.9364428082</c:v>
                </c:pt>
                <c:pt idx="1">
                  <c:v>2038759.7165328092</c:v>
                </c:pt>
                <c:pt idx="2">
                  <c:v>-1597682.3444788887</c:v>
                </c:pt>
                <c:pt idx="3">
                  <c:v>-1646531.1333345436</c:v>
                </c:pt>
                <c:pt idx="4">
                  <c:v>-2204965.1085764901</c:v>
                </c:pt>
                <c:pt idx="5">
                  <c:v>-277020.0843437803</c:v>
                </c:pt>
                <c:pt idx="6">
                  <c:v>-142277.51014938205</c:v>
                </c:pt>
                <c:pt idx="7">
                  <c:v>-42852.506566271884</c:v>
                </c:pt>
                <c:pt idx="8">
                  <c:v>-144650.14305959246</c:v>
                </c:pt>
                <c:pt idx="9">
                  <c:v>-1456645.0030193669</c:v>
                </c:pt>
                <c:pt idx="10">
                  <c:v>204728.94410108216</c:v>
                </c:pt>
                <c:pt idx="11">
                  <c:v>433117.19288525963</c:v>
                </c:pt>
                <c:pt idx="12">
                  <c:v>1214818.3761912982</c:v>
                </c:pt>
                <c:pt idx="13">
                  <c:v>1247707.8633105785</c:v>
                </c:pt>
                <c:pt idx="14">
                  <c:v>1278689.181118527</c:v>
                </c:pt>
                <c:pt idx="15">
                  <c:v>1334062.5242424302</c:v>
                </c:pt>
                <c:pt idx="16">
                  <c:v>1391179.1027184927</c:v>
                </c:pt>
                <c:pt idx="17">
                  <c:v>1415548.9311924179</c:v>
                </c:pt>
                <c:pt idx="18">
                  <c:v>1619220.0956640621</c:v>
                </c:pt>
                <c:pt idx="19">
                  <c:v>1280065.1579485065</c:v>
                </c:pt>
                <c:pt idx="20">
                  <c:v>1514076.1798807341</c:v>
                </c:pt>
                <c:pt idx="21">
                  <c:v>1678417.886023293</c:v>
                </c:pt>
                <c:pt idx="22">
                  <c:v>1692200.2174499037</c:v>
                </c:pt>
                <c:pt idx="23">
                  <c:v>1715795.0402320945</c:v>
                </c:pt>
                <c:pt idx="24">
                  <c:v>1729043.2167994466</c:v>
                </c:pt>
                <c:pt idx="25">
                  <c:v>1693537.0956927161</c:v>
                </c:pt>
                <c:pt idx="26">
                  <c:v>1760552.6257496676</c:v>
                </c:pt>
                <c:pt idx="27">
                  <c:v>1775305.891175821</c:v>
                </c:pt>
                <c:pt idx="28">
                  <c:v>1797446.0723242913</c:v>
                </c:pt>
                <c:pt idx="29">
                  <c:v>1843819.7293477408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E-BF4E-B8EF-3116A9C5A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8934767"/>
        <c:axId val="1868790079"/>
      </c:barChart>
      <c:lineChart>
        <c:grouping val="standard"/>
        <c:varyColors val="0"/>
        <c:ser>
          <c:idx val="1"/>
          <c:order val="1"/>
          <c:tx>
            <c:strRef>
              <c:f>'Valuation (FCF) Guara'!$AA$217</c:f>
              <c:strCache>
                <c:ptCount val="1"/>
                <c:pt idx="0">
                  <c:v>Fluxo de Caixa, após atividades de financiamento - Acumulado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'Valuation (FCF) Guara'!$AB$217:$BE$217</c:f>
              <c:numCache>
                <c:formatCode>#,##0</c:formatCode>
                <c:ptCount val="30"/>
                <c:pt idx="0">
                  <c:v>-2511060.9364428082</c:v>
                </c:pt>
                <c:pt idx="1">
                  <c:v>-472301.21990999905</c:v>
                </c:pt>
                <c:pt idx="2">
                  <c:v>-2069983.5643888877</c:v>
                </c:pt>
                <c:pt idx="3">
                  <c:v>-3716514.6977234315</c:v>
                </c:pt>
                <c:pt idx="4">
                  <c:v>-5921479.8062999211</c:v>
                </c:pt>
                <c:pt idx="5">
                  <c:v>-6198499.890643701</c:v>
                </c:pt>
                <c:pt idx="6">
                  <c:v>-6340777.400793083</c:v>
                </c:pt>
                <c:pt idx="7">
                  <c:v>-6383629.9073593551</c:v>
                </c:pt>
                <c:pt idx="8">
                  <c:v>-6528280.0504189478</c:v>
                </c:pt>
                <c:pt idx="9">
                  <c:v>-7984925.0534383152</c:v>
                </c:pt>
                <c:pt idx="10">
                  <c:v>-7780196.109337233</c:v>
                </c:pt>
                <c:pt idx="11">
                  <c:v>-7347078.9164519738</c:v>
                </c:pt>
                <c:pt idx="12">
                  <c:v>-6132260.5402606754</c:v>
                </c:pt>
                <c:pt idx="13">
                  <c:v>-4884552.6769500971</c:v>
                </c:pt>
                <c:pt idx="14">
                  <c:v>-3605863.4958315701</c:v>
                </c:pt>
                <c:pt idx="15">
                  <c:v>-2271800.9715891397</c:v>
                </c:pt>
                <c:pt idx="16">
                  <c:v>-880621.86887064693</c:v>
                </c:pt>
                <c:pt idx="17">
                  <c:v>534927.06232177094</c:v>
                </c:pt>
                <c:pt idx="18">
                  <c:v>2154147.157985833</c:v>
                </c:pt>
                <c:pt idx="19">
                  <c:v>3434212.3159343395</c:v>
                </c:pt>
                <c:pt idx="20">
                  <c:v>4948288.4958150741</c:v>
                </c:pt>
                <c:pt idx="21">
                  <c:v>6626706.3818383673</c:v>
                </c:pt>
                <c:pt idx="22">
                  <c:v>8318906.5992882708</c:v>
                </c:pt>
                <c:pt idx="23">
                  <c:v>10034701.639520366</c:v>
                </c:pt>
                <c:pt idx="24">
                  <c:v>11763744.856319813</c:v>
                </c:pt>
                <c:pt idx="25">
                  <c:v>13457281.95201253</c:v>
                </c:pt>
                <c:pt idx="26">
                  <c:v>15217834.577762198</c:v>
                </c:pt>
                <c:pt idx="27">
                  <c:v>16993140.468938019</c:v>
                </c:pt>
                <c:pt idx="28">
                  <c:v>18790586.54126231</c:v>
                </c:pt>
                <c:pt idx="29">
                  <c:v>20634406.270610049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CE-BF4E-B8EF-3116A9C5A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407872"/>
        <c:axId val="699600464"/>
      </c:lineChart>
      <c:catAx>
        <c:axId val="186893476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68790079"/>
        <c:crosses val="autoZero"/>
        <c:auto val="1"/>
        <c:lblAlgn val="ctr"/>
        <c:lblOffset val="100"/>
        <c:noMultiLvlLbl val="0"/>
      </c:catAx>
      <c:valAx>
        <c:axId val="1868790079"/>
        <c:scaling>
          <c:orientation val="minMax"/>
          <c:max val="1200000000"/>
          <c:min val="-200000000"/>
        </c:scaling>
        <c:delete val="0"/>
        <c:axPos val="l"/>
        <c:numFmt formatCode=";;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68934767"/>
        <c:crosses val="autoZero"/>
        <c:crossBetween val="between"/>
      </c:valAx>
      <c:valAx>
        <c:axId val="699600464"/>
        <c:scaling>
          <c:orientation val="minMax"/>
        </c:scaling>
        <c:delete val="0"/>
        <c:axPos val="r"/>
        <c:numFmt formatCode=";;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0407872"/>
        <c:crosses val="max"/>
        <c:crossBetween val="between"/>
      </c:valAx>
      <c:catAx>
        <c:axId val="700407872"/>
        <c:scaling>
          <c:orientation val="minMax"/>
        </c:scaling>
        <c:delete val="1"/>
        <c:axPos val="b"/>
        <c:majorTickMark val="out"/>
        <c:minorTickMark val="none"/>
        <c:tickLblPos val="nextTo"/>
        <c:crossAx val="699600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'Valuation (FCF) Guara'!$N$79</c:f>
              <c:strCache>
                <c:ptCount val="1"/>
                <c:pt idx="0">
                  <c:v>Pessoal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'Valuation (FCF) Guara'!$O$2:$AA$2</c:f>
            </c:numRef>
          </c:cat>
          <c:val>
            <c:numRef>
              <c:f>'Valuation (FCF) Guara'!$O$79:$AA$79</c:f>
            </c:numRef>
          </c:val>
          <c:extLst>
            <c:ext xmlns:c16="http://schemas.microsoft.com/office/drawing/2014/chart" uri="{C3380CC4-5D6E-409C-BE32-E72D297353CC}">
              <c16:uniqueId val="{00000000-452A-F844-8845-AD148DE0947B}"/>
            </c:ext>
          </c:extLst>
        </c:ser>
        <c:ser>
          <c:idx val="2"/>
          <c:order val="2"/>
          <c:tx>
            <c:strRef>
              <c:f>'Valuation (FCF) Guara'!$N$80</c:f>
              <c:strCache>
                <c:ptCount val="1"/>
                <c:pt idx="0">
                  <c:v>Produtos Quiímicos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'Valuation (FCF) Guara'!$O$2:$AA$2</c:f>
            </c:numRef>
          </c:cat>
          <c:val>
            <c:numRef>
              <c:f>'Valuation (FCF) Guara'!$O$80:$AA$80</c:f>
            </c:numRef>
          </c:val>
          <c:extLst>
            <c:ext xmlns:c16="http://schemas.microsoft.com/office/drawing/2014/chart" uri="{C3380CC4-5D6E-409C-BE32-E72D297353CC}">
              <c16:uniqueId val="{00000001-452A-F844-8845-AD148DE0947B}"/>
            </c:ext>
          </c:extLst>
        </c:ser>
        <c:ser>
          <c:idx val="3"/>
          <c:order val="3"/>
          <c:tx>
            <c:strRef>
              <c:f>'Valuation (FCF) Guara'!$N$81</c:f>
              <c:strCache>
                <c:ptCount val="1"/>
                <c:pt idx="0">
                  <c:v>Energia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'Valuation (FCF) Guara'!$O$2:$AA$2</c:f>
            </c:numRef>
          </c:cat>
          <c:val>
            <c:numRef>
              <c:f>'Valuation (FCF) Guara'!$O$81:$AA$81</c:f>
            </c:numRef>
          </c:val>
          <c:extLst>
            <c:ext xmlns:c16="http://schemas.microsoft.com/office/drawing/2014/chart" uri="{C3380CC4-5D6E-409C-BE32-E72D297353CC}">
              <c16:uniqueId val="{00000002-452A-F844-8845-AD148DE0947B}"/>
            </c:ext>
          </c:extLst>
        </c:ser>
        <c:ser>
          <c:idx val="4"/>
          <c:order val="4"/>
          <c:tx>
            <c:strRef>
              <c:f>'Valuation (FCF) Guara'!$N$82</c:f>
              <c:strCache>
                <c:ptCount val="1"/>
                <c:pt idx="0">
                  <c:v>Serviços de Terceiros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'Valuation (FCF) Guara'!$O$2:$AA$2</c:f>
            </c:numRef>
          </c:cat>
          <c:val>
            <c:numRef>
              <c:f>'Valuation (FCF) Guara'!$O$82:$AA$82</c:f>
            </c:numRef>
          </c:val>
          <c:extLst>
            <c:ext xmlns:c16="http://schemas.microsoft.com/office/drawing/2014/chart" uri="{C3380CC4-5D6E-409C-BE32-E72D297353CC}">
              <c16:uniqueId val="{00000003-452A-F844-8845-AD148DE0947B}"/>
            </c:ext>
          </c:extLst>
        </c:ser>
        <c:ser>
          <c:idx val="5"/>
          <c:order val="5"/>
          <c:tx>
            <c:strRef>
              <c:f>'Valuation (FCF) Guara'!$N$83</c:f>
              <c:strCache>
                <c:ptCount val="1"/>
                <c:pt idx="0">
                  <c:v>Outras despesas de exploração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'Valuation (FCF) Guara'!$O$2:$AA$2</c:f>
            </c:numRef>
          </c:cat>
          <c:val>
            <c:numRef>
              <c:f>'Valuation (FCF) Guara'!$O$83:$AA$83</c:f>
            </c:numRef>
          </c:val>
          <c:extLst>
            <c:ext xmlns:c16="http://schemas.microsoft.com/office/drawing/2014/chart" uri="{C3380CC4-5D6E-409C-BE32-E72D297353CC}">
              <c16:uniqueId val="{00000004-452A-F844-8845-AD148DE0947B}"/>
            </c:ext>
          </c:extLst>
        </c:ser>
        <c:ser>
          <c:idx val="6"/>
          <c:order val="6"/>
          <c:tx>
            <c:strRef>
              <c:f>'Valuation (FCF) Guara'!$N$84</c:f>
              <c:strCache>
                <c:ptCount val="1"/>
                <c:pt idx="0">
                  <c:v>Outras despesas com os serviços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'Valuation (FCF) Guara'!$O$2:$AA$2</c:f>
            </c:numRef>
          </c:cat>
          <c:val>
            <c:numRef>
              <c:f>'Valuation (FCF) Guara'!$O$84:$AA$84</c:f>
            </c:numRef>
          </c:val>
          <c:extLst>
            <c:ext xmlns:c16="http://schemas.microsoft.com/office/drawing/2014/chart" uri="{C3380CC4-5D6E-409C-BE32-E72D297353CC}">
              <c16:uniqueId val="{00000005-452A-F844-8845-AD148DE09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761471"/>
        <c:axId val="441431647"/>
      </c:barChart>
      <c:lineChart>
        <c:grouping val="stacked"/>
        <c:varyColors val="0"/>
        <c:ser>
          <c:idx val="0"/>
          <c:order val="0"/>
          <c:tx>
            <c:strRef>
              <c:f>'Valuation (FCF) Guara'!$N$78</c:f>
              <c:strCache>
                <c:ptCount val="1"/>
                <c:pt idx="0">
                  <c:v>Valores Totais, ajustado para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#,##0,,_ ;\-#,##0,,\ 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'Valuation (FCF) Guara'!$O$78:$AA$78</c:f>
            </c:numRef>
          </c:val>
          <c:smooth val="0"/>
          <c:extLst>
            <c:ext xmlns:c16="http://schemas.microsoft.com/office/drawing/2014/chart" uri="{C3380CC4-5D6E-409C-BE32-E72D297353CC}">
              <c16:uniqueId val="{00000006-452A-F844-8845-AD148DE09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761471"/>
        <c:axId val="441431647"/>
      </c:lineChart>
      <c:catAx>
        <c:axId val="50976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1431647"/>
        <c:crosses val="autoZero"/>
        <c:auto val="1"/>
        <c:lblAlgn val="ctr"/>
        <c:lblOffset val="100"/>
        <c:noMultiLvlLbl val="0"/>
      </c:catAx>
      <c:valAx>
        <c:axId val="441431647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09761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60-D54D-AC09-29E2D381D14D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60-D54D-AC09-29E2D381D14D}"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60-D54D-AC09-29E2D381D14D}"/>
                </c:ext>
              </c:extLst>
            </c:dLbl>
            <c:dLbl>
              <c:idx val="2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60-D54D-AC09-29E2D381D1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'Valuation (FCF) Guara'!$AB$27:$BE$27</c:f>
              <c:numCache>
                <c:formatCode>#,##0</c:formatCode>
                <c:ptCount val="30"/>
                <c:pt idx="0">
                  <c:v>21394</c:v>
                </c:pt>
                <c:pt idx="1">
                  <c:v>21564.152846609417</c:v>
                </c:pt>
                <c:pt idx="2">
                  <c:v>21645.384434205054</c:v>
                </c:pt>
                <c:pt idx="3">
                  <c:v>21724.009962420161</c:v>
                </c:pt>
                <c:pt idx="4">
                  <c:v>21799.998458565544</c:v>
                </c:pt>
                <c:pt idx="5">
                  <c:v>21873.319897596131</c:v>
                </c:pt>
                <c:pt idx="6">
                  <c:v>21943.945221838418</c:v>
                </c:pt>
                <c:pt idx="7">
                  <c:v>22011.846360141397</c:v>
                </c:pt>
                <c:pt idx="8">
                  <c:v>22076.996246433537</c:v>
                </c:pt>
                <c:pt idx="9">
                  <c:v>22139.368837668531</c:v>
                </c:pt>
                <c:pt idx="10">
                  <c:v>22198.939131143263</c:v>
                </c:pt>
                <c:pt idx="11">
                  <c:v>22255.683181171873</c:v>
                </c:pt>
                <c:pt idx="12">
                  <c:v>22309.578115100372</c:v>
                </c:pt>
                <c:pt idx="13">
                  <c:v>22360.602148646885</c:v>
                </c:pt>
                <c:pt idx="14">
                  <c:v>22408.734600553114</c:v>
                </c:pt>
                <c:pt idx="15">
                  <c:v>22453.955906533203</c:v>
                </c:pt>
                <c:pt idx="16">
                  <c:v>22496.247632506962</c:v>
                </c:pt>
                <c:pt idx="17">
                  <c:v>22535.592487104837</c:v>
                </c:pt>
                <c:pt idx="18">
                  <c:v>22571.974333432805</c:v>
                </c:pt>
                <c:pt idx="19">
                  <c:v>22605.378200086063</c:v>
                </c:pt>
                <c:pt idx="20">
                  <c:v>22635.790291400863</c:v>
                </c:pt>
                <c:pt idx="21">
                  <c:v>22663.197996934847</c:v>
                </c:pt>
                <c:pt idx="22">
                  <c:v>22687.58990016664</c:v>
                </c:pt>
                <c:pt idx="23">
                  <c:v>22708.955786406397</c:v>
                </c:pt>
                <c:pt idx="24">
                  <c:v>22727.286649909594</c:v>
                </c:pt>
                <c:pt idx="25">
                  <c:v>22742.574700187208</c:v>
                </c:pt>
                <c:pt idx="26">
                  <c:v>22754.813367505998</c:v>
                </c:pt>
                <c:pt idx="27">
                  <c:v>22763.997307573605</c:v>
                </c:pt>
                <c:pt idx="28">
                  <c:v>22770.12240540369</c:v>
                </c:pt>
                <c:pt idx="29">
                  <c:v>22773.1857783573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0-D54D-AC09-29E2D381D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639295"/>
        <c:axId val="434823647"/>
      </c:barChart>
      <c:catAx>
        <c:axId val="4346392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4823647"/>
        <c:crosses val="autoZero"/>
        <c:auto val="1"/>
        <c:lblAlgn val="ctr"/>
        <c:lblOffset val="100"/>
        <c:noMultiLvlLbl val="0"/>
      </c:catAx>
      <c:valAx>
        <c:axId val="434823647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34639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'Valuation (FCF) Guara'!$AA$219</c:f>
              <c:strCache>
                <c:ptCount val="1"/>
                <c:pt idx="0">
                  <c:v>ICSD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'Valuation (FCF) Guara'!$AB$219:$AK$219</c:f>
              <c:numCache>
                <c:formatCode>#,##0.00</c:formatCode>
                <c:ptCount val="10"/>
                <c:pt idx="0">
                  <c:v>5.1621388905814412</c:v>
                </c:pt>
                <c:pt idx="1">
                  <c:v>2.8045790277121867</c:v>
                </c:pt>
                <c:pt idx="2">
                  <c:v>1.5003194940784852</c:v>
                </c:pt>
                <c:pt idx="3">
                  <c:v>1.5830181599037896</c:v>
                </c:pt>
                <c:pt idx="4">
                  <c:v>1.7881318065967364</c:v>
                </c:pt>
                <c:pt idx="5">
                  <c:v>2.0387808239507788</c:v>
                </c:pt>
                <c:pt idx="6">
                  <c:v>2.2198529285987418</c:v>
                </c:pt>
                <c:pt idx="7">
                  <c:v>2.4255707010633465</c:v>
                </c:pt>
                <c:pt idx="8">
                  <c:v>2.6599232302468061</c:v>
                </c:pt>
                <c:pt idx="9">
                  <c:v>2.9366529712405867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72-3C49-AB8F-1CA499EF0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066031"/>
        <c:axId val="383225711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72-3C49-AB8F-1CA499EF0C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'Valuation (FCF) Guara'!$AB$220:$AK$220</c:f>
              <c:numCache>
                <c:formatCode>#,##0.00</c:formatCode>
                <c:ptCount val="10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72-3C49-AB8F-1CA499EF0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8066031"/>
        <c:axId val="383225711"/>
      </c:lineChart>
      <c:catAx>
        <c:axId val="15580660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3225711"/>
        <c:crosses val="autoZero"/>
        <c:auto val="1"/>
        <c:lblAlgn val="ctr"/>
        <c:lblOffset val="100"/>
        <c:noMultiLvlLbl val="0"/>
      </c:catAx>
      <c:valAx>
        <c:axId val="383225711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558066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,,;\-#,##0.0,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'Valuation (FCF) Guara'!$AB$228:$BE$228</c:f>
              <c:numCache>
                <c:formatCode>#,##0</c:formatCode>
                <c:ptCount val="30"/>
                <c:pt idx="0">
                  <c:v>7028224.6748238336</c:v>
                </c:pt>
                <c:pt idx="1">
                  <c:v>9318872.9456667062</c:v>
                </c:pt>
                <c:pt idx="2">
                  <c:v>10834087.039339207</c:v>
                </c:pt>
                <c:pt idx="3">
                  <c:v>12389515.62587015</c:v>
                </c:pt>
                <c:pt idx="4">
                  <c:v>14562986.843393654</c:v>
                </c:pt>
                <c:pt idx="5">
                  <c:v>14930309.172460753</c:v>
                </c:pt>
                <c:pt idx="6">
                  <c:v>15212055.775578098</c:v>
                </c:pt>
                <c:pt idx="7">
                  <c:v>15442562.420730766</c:v>
                </c:pt>
                <c:pt idx="8">
                  <c:v>15814314.860964056</c:v>
                </c:pt>
                <c:pt idx="9">
                  <c:v>17487776.465407345</c:v>
                </c:pt>
                <c:pt idx="10">
                  <c:v>17524942.2894594</c:v>
                </c:pt>
                <c:pt idx="11">
                  <c:v>17360231.081816684</c:v>
                </c:pt>
                <c:pt idx="12">
                  <c:v>17143919.302157532</c:v>
                </c:pt>
                <c:pt idx="13">
                  <c:v>16872527.220896363</c:v>
                </c:pt>
                <c:pt idx="14">
                  <c:v>16545130.235326497</c:v>
                </c:pt>
                <c:pt idx="15">
                  <c:v>16136277.154313238</c:v>
                </c:pt>
                <c:pt idx="16">
                  <c:v>15630817.847063206</c:v>
                </c:pt>
                <c:pt idx="17">
                  <c:v>15058726.732770344</c:v>
                </c:pt>
                <c:pt idx="18">
                  <c:v>14249811.727914328</c:v>
                </c:pt>
                <c:pt idx="19">
                  <c:v>13716140.534130668</c:v>
                </c:pt>
                <c:pt idx="20">
                  <c:v>12896887.394370683</c:v>
                </c:pt>
                <c:pt idx="21">
                  <c:v>11869758.744946312</c:v>
                </c:pt>
                <c:pt idx="22">
                  <c:v>10780041.068481717</c:v>
                </c:pt>
                <c:pt idx="23">
                  <c:v>9612148.465134643</c:v>
                </c:pt>
                <c:pt idx="24">
                  <c:v>8367593.5083605237</c:v>
                </c:pt>
                <c:pt idx="25">
                  <c:v>7073784.6723631658</c:v>
                </c:pt>
                <c:pt idx="26">
                  <c:v>5619776.2306850636</c:v>
                </c:pt>
                <c:pt idx="27">
                  <c:v>4026017.6883790987</c:v>
                </c:pt>
                <c:pt idx="28">
                  <c:v>2222633.9951313455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7-2147-BA69-3A432158E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54496"/>
        <c:axId val="13759568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'Valuation (FCF) Guara'!$AB$226:$BE$226</c:f>
              <c:numCache>
                <c:formatCode>#,##0</c:formatCode>
                <c:ptCount val="30"/>
                <c:pt idx="0">
                  <c:v>7270577.2498177588</c:v>
                </c:pt>
                <c:pt idx="1">
                  <c:v>2623465.1617595414</c:v>
                </c:pt>
                <c:pt idx="2">
                  <c:v>1916476.5766109901</c:v>
                </c:pt>
                <c:pt idx="3">
                  <c:v>2031948.4182951781</c:v>
                </c:pt>
                <c:pt idx="4">
                  <c:v>2755990.6912592496</c:v>
                </c:pt>
                <c:pt idx="5">
                  <c:v>989418.54458630225</c:v>
                </c:pt>
                <c:pt idx="6">
                  <c:v>943140.33249030588</c:v>
                </c:pt>
                <c:pt idx="7">
                  <c:v>932441.30064043147</c:v>
                </c:pt>
                <c:pt idx="8">
                  <c:v>1124815.052660147</c:v>
                </c:pt>
                <c:pt idx="9">
                  <c:v>2547850.4277136507</c:v>
                </c:pt>
                <c:pt idx="10">
                  <c:v>959531.20770781185</c:v>
                </c:pt>
                <c:pt idx="11">
                  <c:v>799746.07468043105</c:v>
                </c:pt>
                <c:pt idx="12">
                  <c:v>792154.06164423516</c:v>
                </c:pt>
                <c:pt idx="13">
                  <c:v>783140.87004485517</c:v>
                </c:pt>
                <c:pt idx="14">
                  <c:v>775611.69678523403</c:v>
                </c:pt>
                <c:pt idx="15">
                  <c:v>743738.14429482748</c:v>
                </c:pt>
                <c:pt idx="16">
                  <c:v>696911.29637021036</c:v>
                </c:pt>
                <c:pt idx="17">
                  <c:v>682802.78010466858</c:v>
                </c:pt>
                <c:pt idx="18">
                  <c:v>486522.42495437618</c:v>
                </c:pt>
                <c:pt idx="19">
                  <c:v>837942.85962940659</c:v>
                </c:pt>
                <c:pt idx="20">
                  <c:v>613734.3485034206</c:v>
                </c:pt>
                <c:pt idx="21">
                  <c:v>456591.19369391754</c:v>
                </c:pt>
                <c:pt idx="22">
                  <c:v>450288.19046136527</c:v>
                </c:pt>
                <c:pt idx="23">
                  <c:v>434132.14084203029</c:v>
                </c:pt>
                <c:pt idx="24">
                  <c:v>428963.74489798414</c:v>
                </c:pt>
                <c:pt idx="25">
                  <c:v>474637.33209343255</c:v>
                </c:pt>
                <c:pt idx="26">
                  <c:v>419250.3018835769</c:v>
                </c:pt>
                <c:pt idx="27">
                  <c:v>419250.3018835769</c:v>
                </c:pt>
                <c:pt idx="28">
                  <c:v>419250.3018835769</c:v>
                </c:pt>
                <c:pt idx="29">
                  <c:v>419250.3018835769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E7-2147-BA69-3A432158E2D5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'Valuation (FCF) Guara'!$AB$227:$BE$227</c:f>
              <c:numCache>
                <c:formatCode>#,##0</c:formatCode>
                <c:ptCount val="30"/>
                <c:pt idx="0">
                  <c:v>242352.57499392529</c:v>
                </c:pt>
                <c:pt idx="1">
                  <c:v>332816.89091666811</c:v>
                </c:pt>
                <c:pt idx="2">
                  <c:v>401262.48293848918</c:v>
                </c:pt>
                <c:pt idx="3">
                  <c:v>476519.8317642365</c:v>
                </c:pt>
                <c:pt idx="4">
                  <c:v>582519.47373574611</c:v>
                </c:pt>
                <c:pt idx="5">
                  <c:v>622096.21551919822</c:v>
                </c:pt>
                <c:pt idx="6">
                  <c:v>661393.72937296098</c:v>
                </c:pt>
                <c:pt idx="7">
                  <c:v>701934.6554877623</c:v>
                </c:pt>
                <c:pt idx="8">
                  <c:v>753062.61242685991</c:v>
                </c:pt>
                <c:pt idx="9">
                  <c:v>874388.82327036711</c:v>
                </c:pt>
                <c:pt idx="10">
                  <c:v>922365.38365575764</c:v>
                </c:pt>
                <c:pt idx="11">
                  <c:v>964457.2823231488</c:v>
                </c:pt>
                <c:pt idx="12">
                  <c:v>1008465.841303384</c:v>
                </c:pt>
                <c:pt idx="13">
                  <c:v>1054532.9513060227</c:v>
                </c:pt>
                <c:pt idx="14">
                  <c:v>1103008.6823550998</c:v>
                </c:pt>
                <c:pt idx="15">
                  <c:v>1152591.2253080884</c:v>
                </c:pt>
                <c:pt idx="16">
                  <c:v>1202370.6036202463</c:v>
                </c:pt>
                <c:pt idx="17">
                  <c:v>1254893.8943975284</c:v>
                </c:pt>
                <c:pt idx="18">
                  <c:v>1295437.4298103931</c:v>
                </c:pt>
                <c:pt idx="19">
                  <c:v>1371614.0534130665</c:v>
                </c:pt>
                <c:pt idx="20">
                  <c:v>1432987.4882634087</c:v>
                </c:pt>
                <c:pt idx="21">
                  <c:v>1483719.8431182883</c:v>
                </c:pt>
                <c:pt idx="22">
                  <c:v>1540005.866925959</c:v>
                </c:pt>
                <c:pt idx="23">
                  <c:v>1602024.7441891062</c:v>
                </c:pt>
                <c:pt idx="24">
                  <c:v>1673518.7016721035</c:v>
                </c:pt>
                <c:pt idx="25">
                  <c:v>1768446.16809079</c:v>
                </c:pt>
                <c:pt idx="26">
                  <c:v>1873258.7435616842</c:v>
                </c:pt>
                <c:pt idx="27">
                  <c:v>2013008.844189543</c:v>
                </c:pt>
                <c:pt idx="28">
                  <c:v>2222633.9951313315</c:v>
                </c:pt>
                <c:pt idx="29">
                  <c:v>2641884.2970149084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E7-2147-BA69-3A432158E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4496"/>
        <c:axId val="13759568"/>
      </c:lineChart>
      <c:catAx>
        <c:axId val="136544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759568"/>
        <c:crosses val="autoZero"/>
        <c:auto val="1"/>
        <c:lblAlgn val="ctr"/>
        <c:lblOffset val="100"/>
        <c:noMultiLvlLbl val="0"/>
      </c:catAx>
      <c:valAx>
        <c:axId val="1375956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365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176</xdr:row>
      <xdr:rowOff>0</xdr:rowOff>
    </xdr:from>
    <xdr:to>
      <xdr:col>65</xdr:col>
      <xdr:colOff>375218</xdr:colOff>
      <xdr:row>190</xdr:row>
      <xdr:rowOff>7608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6F29BC3-DB61-AF4E-B183-3A743178F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58</xdr:col>
      <xdr:colOff>0</xdr:colOff>
      <xdr:row>203</xdr:row>
      <xdr:rowOff>0</xdr:rowOff>
    </xdr:from>
    <xdr:to>
      <xdr:col>65</xdr:col>
      <xdr:colOff>375218</xdr:colOff>
      <xdr:row>222</xdr:row>
      <xdr:rowOff>7609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5B16CCD-F68B-774F-953C-1F919A31C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58</xdr:col>
      <xdr:colOff>0</xdr:colOff>
      <xdr:row>153</xdr:row>
      <xdr:rowOff>0</xdr:rowOff>
    </xdr:from>
    <xdr:to>
      <xdr:col>65</xdr:col>
      <xdr:colOff>375218</xdr:colOff>
      <xdr:row>167</xdr:row>
      <xdr:rowOff>7608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572893A-F800-AA45-AC62-B8F38B1182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58</xdr:col>
      <xdr:colOff>0</xdr:colOff>
      <xdr:row>235</xdr:row>
      <xdr:rowOff>0</xdr:rowOff>
    </xdr:from>
    <xdr:to>
      <xdr:col>65</xdr:col>
      <xdr:colOff>375218</xdr:colOff>
      <xdr:row>249</xdr:row>
      <xdr:rowOff>7609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289D14D-FEC9-504B-AA33-9DAC37424A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57</xdr:col>
      <xdr:colOff>193260</xdr:colOff>
      <xdr:row>69</xdr:row>
      <xdr:rowOff>0</xdr:rowOff>
    </xdr:from>
    <xdr:to>
      <xdr:col>68</xdr:col>
      <xdr:colOff>690217</xdr:colOff>
      <xdr:row>90</xdr:row>
      <xdr:rowOff>110435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60716E1-DE91-E647-BB23-2994A1BDDD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59</xdr:col>
      <xdr:colOff>0</xdr:colOff>
      <xdr:row>23</xdr:row>
      <xdr:rowOff>0</xdr:rowOff>
    </xdr:from>
    <xdr:to>
      <xdr:col>66</xdr:col>
      <xdr:colOff>320000</xdr:colOff>
      <xdr:row>32</xdr:row>
      <xdr:rowOff>167143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DC7CFDD-61DC-9A46-9D56-F3EBA79204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58</xdr:col>
      <xdr:colOff>0</xdr:colOff>
      <xdr:row>223</xdr:row>
      <xdr:rowOff>0</xdr:rowOff>
    </xdr:from>
    <xdr:to>
      <xdr:col>65</xdr:col>
      <xdr:colOff>320000</xdr:colOff>
      <xdr:row>232</xdr:row>
      <xdr:rowOff>167143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5495879D-ED42-694D-9C02-2AF0DC993B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66</xdr:col>
      <xdr:colOff>0</xdr:colOff>
      <xdr:row>223</xdr:row>
      <xdr:rowOff>0</xdr:rowOff>
    </xdr:from>
    <xdr:to>
      <xdr:col>73</xdr:col>
      <xdr:colOff>320000</xdr:colOff>
      <xdr:row>232</xdr:row>
      <xdr:rowOff>167143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0A5A74D-67C7-7F40-8C6D-40723BD5F4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/Users/rafaelcesar/Library/CloudStorage/GoogleDrive-rafael.tinelli@thinkviabilidade.com/.shortcut-targets-by-id/1twsU6uKcFtuKv5VyDAPOE3KUh7JuxMEM/0.%20Think/02%20Projetos/36%20-%20Proficenter/05.%20PMI%20Guara&#769;/OPEX%20Guara&#769;%200723%20-%20R02.xlsx" TargetMode="External"/><Relationship Id="rId2" Type="http://schemas.microsoft.com/office/2019/04/relationships/externalLinkLongPath" Target="OPEX%20Guara&#769;%200723%20-%20R02.xlsx?D8BDF079" TargetMode="External"/><Relationship Id="rId1" Type="http://schemas.openxmlformats.org/officeDocument/2006/relationships/externalLinkPath" Target="file:///D8BDF079/OPEX%20Guara&#769;%200723%20-%20R02.xlsx" TargetMode="External"/></Relationships>
</file>

<file path=xl/externalLinks/_rels/externalLink2.xml.rels><?xml version="1.0" encoding="UTF-8" standalone="yes"?>
<Relationships xmlns="http://schemas.openxmlformats.org/package/2006/relationships"><Relationship Id="rId3" Type="http://schemas.openxmlformats.org/officeDocument/2006/relationships/externalLinkPath" Target="/Users/rafaelcesar/Library/CloudStorage/GoogleDrive-rafael.tinelli@thinkviabilidade.com/.shortcut-targets-by-id/1twsU6uKcFtuKv5VyDAPOE3KUh7JuxMEM/0.%20Think/02%20Projetos/36%20-%20Proficenter/05.%20PMI%20Guara&#769;/CAPEX%20Guara&#769;%200723%20R02.xlsx" TargetMode="External"/><Relationship Id="rId2" Type="http://schemas.microsoft.com/office/2019/04/relationships/externalLinkLongPath" Target="CAPEX%20Guara&#769;%200723%20R02.xlsx?D8BDF079" TargetMode="External"/><Relationship Id="rId1" Type="http://schemas.openxmlformats.org/officeDocument/2006/relationships/externalLinkPath" Target="file:///D8BDF079/CAPEX%20Guara&#769;%200723%20R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Cont Revisão"/>
      <sheetName val="Demonst Financeiro"/>
      <sheetName val="Resumo Modelo Financ"/>
      <sheetName val="Salários"/>
      <sheetName val="EPI"/>
      <sheetName val="Ferramentas"/>
      <sheetName val="Cronograma Pessoal"/>
      <sheetName val="Cronograma Equip"/>
      <sheetName val="Cronograma Equipe"/>
      <sheetName val="Premissas Equipe"/>
      <sheetName val="Equipamentos"/>
      <sheetName val="Energia Elétrica"/>
      <sheetName val="Prod Químicos"/>
      <sheetName val="Mat Operação"/>
      <sheetName val="Outras Desp"/>
    </sheetNames>
    <sheetDataSet>
      <sheetData sheetId="0"/>
      <sheetData sheetId="1"/>
      <sheetData sheetId="2">
        <row r="13"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2</v>
          </cell>
          <cell r="T13">
            <v>2</v>
          </cell>
          <cell r="U13">
            <v>2</v>
          </cell>
          <cell r="V13">
            <v>2</v>
          </cell>
          <cell r="W13">
            <v>2</v>
          </cell>
          <cell r="X13">
            <v>2</v>
          </cell>
          <cell r="Y13">
            <v>2</v>
          </cell>
          <cell r="Z13">
            <v>2</v>
          </cell>
          <cell r="AA13">
            <v>2</v>
          </cell>
          <cell r="AB13">
            <v>2</v>
          </cell>
          <cell r="AC13">
            <v>2</v>
          </cell>
          <cell r="AD13">
            <v>2</v>
          </cell>
          <cell r="AE13">
            <v>3</v>
          </cell>
          <cell r="AF13">
            <v>3</v>
          </cell>
          <cell r="AG13">
            <v>3</v>
          </cell>
          <cell r="AH13">
            <v>3</v>
          </cell>
          <cell r="AI13">
            <v>3</v>
          </cell>
          <cell r="AJ13">
            <v>3</v>
          </cell>
          <cell r="AK13">
            <v>3</v>
          </cell>
          <cell r="AL13">
            <v>3</v>
          </cell>
          <cell r="AM13">
            <v>3</v>
          </cell>
          <cell r="AN13">
            <v>3</v>
          </cell>
          <cell r="AO13">
            <v>3</v>
          </cell>
          <cell r="AP13">
            <v>3</v>
          </cell>
          <cell r="AQ13">
            <v>4</v>
          </cell>
          <cell r="AR13">
            <v>4</v>
          </cell>
          <cell r="AS13">
            <v>4</v>
          </cell>
          <cell r="AT13">
            <v>4</v>
          </cell>
          <cell r="AU13">
            <v>4</v>
          </cell>
          <cell r="AV13">
            <v>4</v>
          </cell>
          <cell r="AW13">
            <v>4</v>
          </cell>
          <cell r="AX13">
            <v>4</v>
          </cell>
          <cell r="AY13">
            <v>4</v>
          </cell>
          <cell r="AZ13">
            <v>4</v>
          </cell>
          <cell r="BA13">
            <v>4</v>
          </cell>
          <cell r="BB13">
            <v>4</v>
          </cell>
          <cell r="BC13">
            <v>5</v>
          </cell>
          <cell r="BD13">
            <v>5</v>
          </cell>
          <cell r="BE13">
            <v>5</v>
          </cell>
          <cell r="BF13">
            <v>5</v>
          </cell>
          <cell r="BG13">
            <v>5</v>
          </cell>
          <cell r="BH13">
            <v>5</v>
          </cell>
          <cell r="BI13">
            <v>5</v>
          </cell>
          <cell r="BJ13">
            <v>5</v>
          </cell>
          <cell r="BK13">
            <v>5</v>
          </cell>
          <cell r="BL13">
            <v>5</v>
          </cell>
          <cell r="BM13">
            <v>5</v>
          </cell>
          <cell r="BN13">
            <v>5</v>
          </cell>
          <cell r="BO13">
            <v>6</v>
          </cell>
          <cell r="BP13">
            <v>6</v>
          </cell>
          <cell r="BQ13">
            <v>6</v>
          </cell>
          <cell r="BR13">
            <v>6</v>
          </cell>
          <cell r="BS13">
            <v>6</v>
          </cell>
          <cell r="BT13">
            <v>6</v>
          </cell>
          <cell r="BU13">
            <v>6</v>
          </cell>
          <cell r="BV13">
            <v>6</v>
          </cell>
          <cell r="BW13">
            <v>6</v>
          </cell>
          <cell r="BX13">
            <v>6</v>
          </cell>
          <cell r="BY13">
            <v>6</v>
          </cell>
          <cell r="BZ13">
            <v>6</v>
          </cell>
          <cell r="CA13">
            <v>7</v>
          </cell>
          <cell r="CB13">
            <v>7</v>
          </cell>
          <cell r="CC13">
            <v>7</v>
          </cell>
          <cell r="CD13">
            <v>7</v>
          </cell>
          <cell r="CE13">
            <v>7</v>
          </cell>
          <cell r="CF13">
            <v>7</v>
          </cell>
          <cell r="CG13">
            <v>7</v>
          </cell>
          <cell r="CH13">
            <v>7</v>
          </cell>
          <cell r="CI13">
            <v>7</v>
          </cell>
          <cell r="CJ13">
            <v>7</v>
          </cell>
          <cell r="CK13">
            <v>7</v>
          </cell>
          <cell r="CL13">
            <v>7</v>
          </cell>
          <cell r="CM13">
            <v>8</v>
          </cell>
          <cell r="CN13">
            <v>8</v>
          </cell>
          <cell r="CO13">
            <v>8</v>
          </cell>
          <cell r="CP13">
            <v>8</v>
          </cell>
          <cell r="CQ13">
            <v>8</v>
          </cell>
          <cell r="CR13">
            <v>8</v>
          </cell>
          <cell r="CS13">
            <v>8</v>
          </cell>
          <cell r="CT13">
            <v>8</v>
          </cell>
          <cell r="CU13">
            <v>8</v>
          </cell>
          <cell r="CV13">
            <v>8</v>
          </cell>
          <cell r="CW13">
            <v>8</v>
          </cell>
          <cell r="CX13">
            <v>8</v>
          </cell>
          <cell r="CY13">
            <v>9</v>
          </cell>
          <cell r="CZ13">
            <v>9</v>
          </cell>
          <cell r="DA13">
            <v>9</v>
          </cell>
          <cell r="DB13">
            <v>9</v>
          </cell>
          <cell r="DC13">
            <v>9</v>
          </cell>
          <cell r="DD13">
            <v>9</v>
          </cell>
          <cell r="DE13">
            <v>9</v>
          </cell>
          <cell r="DF13">
            <v>9</v>
          </cell>
          <cell r="DG13">
            <v>9</v>
          </cell>
          <cell r="DH13">
            <v>9</v>
          </cell>
          <cell r="DI13">
            <v>9</v>
          </cell>
          <cell r="DJ13">
            <v>9</v>
          </cell>
          <cell r="DK13">
            <v>10</v>
          </cell>
          <cell r="DL13">
            <v>10</v>
          </cell>
          <cell r="DM13">
            <v>10</v>
          </cell>
          <cell r="DN13">
            <v>10</v>
          </cell>
          <cell r="DO13">
            <v>10</v>
          </cell>
          <cell r="DP13">
            <v>10</v>
          </cell>
          <cell r="DQ13">
            <v>10</v>
          </cell>
          <cell r="DR13">
            <v>10</v>
          </cell>
          <cell r="DS13">
            <v>10</v>
          </cell>
          <cell r="DT13">
            <v>10</v>
          </cell>
          <cell r="DU13">
            <v>10</v>
          </cell>
          <cell r="DV13">
            <v>10</v>
          </cell>
          <cell r="DW13">
            <v>11</v>
          </cell>
          <cell r="DX13">
            <v>11</v>
          </cell>
          <cell r="DY13">
            <v>11</v>
          </cell>
          <cell r="DZ13">
            <v>11</v>
          </cell>
          <cell r="EA13">
            <v>11</v>
          </cell>
          <cell r="EB13">
            <v>11</v>
          </cell>
          <cell r="EC13">
            <v>11</v>
          </cell>
          <cell r="ED13">
            <v>11</v>
          </cell>
          <cell r="EE13">
            <v>11</v>
          </cell>
          <cell r="EF13">
            <v>11</v>
          </cell>
          <cell r="EG13">
            <v>11</v>
          </cell>
          <cell r="EH13">
            <v>11</v>
          </cell>
          <cell r="EI13">
            <v>12</v>
          </cell>
          <cell r="EJ13">
            <v>12</v>
          </cell>
          <cell r="EK13">
            <v>12</v>
          </cell>
          <cell r="EL13">
            <v>12</v>
          </cell>
          <cell r="EM13">
            <v>12</v>
          </cell>
          <cell r="EN13">
            <v>12</v>
          </cell>
          <cell r="EO13">
            <v>12</v>
          </cell>
          <cell r="EP13">
            <v>12</v>
          </cell>
          <cell r="EQ13">
            <v>12</v>
          </cell>
          <cell r="ER13">
            <v>12</v>
          </cell>
          <cell r="ES13">
            <v>12</v>
          </cell>
          <cell r="ET13">
            <v>12</v>
          </cell>
          <cell r="EU13">
            <v>13</v>
          </cell>
          <cell r="EV13">
            <v>13</v>
          </cell>
          <cell r="EW13">
            <v>13</v>
          </cell>
          <cell r="EX13">
            <v>13</v>
          </cell>
          <cell r="EY13">
            <v>13</v>
          </cell>
          <cell r="EZ13">
            <v>13</v>
          </cell>
          <cell r="FA13">
            <v>13</v>
          </cell>
          <cell r="FB13">
            <v>13</v>
          </cell>
          <cell r="FC13">
            <v>13</v>
          </cell>
          <cell r="FD13">
            <v>13</v>
          </cell>
          <cell r="FE13">
            <v>13</v>
          </cell>
          <cell r="FF13">
            <v>13</v>
          </cell>
          <cell r="FG13">
            <v>14</v>
          </cell>
          <cell r="FH13">
            <v>14</v>
          </cell>
          <cell r="FI13">
            <v>14</v>
          </cell>
          <cell r="FJ13">
            <v>14</v>
          </cell>
          <cell r="FK13">
            <v>14</v>
          </cell>
          <cell r="FL13">
            <v>14</v>
          </cell>
          <cell r="FM13">
            <v>14</v>
          </cell>
          <cell r="FN13">
            <v>14</v>
          </cell>
          <cell r="FO13">
            <v>14</v>
          </cell>
          <cell r="FP13">
            <v>14</v>
          </cell>
          <cell r="FQ13">
            <v>14</v>
          </cell>
          <cell r="FR13">
            <v>14</v>
          </cell>
          <cell r="FS13">
            <v>15</v>
          </cell>
          <cell r="FT13">
            <v>15</v>
          </cell>
          <cell r="FU13">
            <v>15</v>
          </cell>
          <cell r="FV13">
            <v>15</v>
          </cell>
          <cell r="FW13">
            <v>15</v>
          </cell>
          <cell r="FX13">
            <v>15</v>
          </cell>
          <cell r="FY13">
            <v>15</v>
          </cell>
          <cell r="FZ13">
            <v>15</v>
          </cell>
          <cell r="GA13">
            <v>15</v>
          </cell>
          <cell r="GB13">
            <v>15</v>
          </cell>
          <cell r="GC13">
            <v>15</v>
          </cell>
          <cell r="GD13">
            <v>15</v>
          </cell>
          <cell r="GE13">
            <v>16</v>
          </cell>
          <cell r="GF13">
            <v>16</v>
          </cell>
          <cell r="GG13">
            <v>16</v>
          </cell>
          <cell r="GH13">
            <v>16</v>
          </cell>
          <cell r="GI13">
            <v>16</v>
          </cell>
          <cell r="GJ13">
            <v>16</v>
          </cell>
          <cell r="GK13">
            <v>16</v>
          </cell>
          <cell r="GL13">
            <v>16</v>
          </cell>
          <cell r="GM13">
            <v>16</v>
          </cell>
          <cell r="GN13">
            <v>16</v>
          </cell>
          <cell r="GO13">
            <v>16</v>
          </cell>
          <cell r="GP13">
            <v>16</v>
          </cell>
          <cell r="GQ13">
            <v>17</v>
          </cell>
          <cell r="GR13">
            <v>17</v>
          </cell>
          <cell r="GS13">
            <v>17</v>
          </cell>
          <cell r="GT13">
            <v>17</v>
          </cell>
          <cell r="GU13">
            <v>17</v>
          </cell>
          <cell r="GV13">
            <v>17</v>
          </cell>
          <cell r="GW13">
            <v>17</v>
          </cell>
          <cell r="GX13">
            <v>17</v>
          </cell>
          <cell r="GY13">
            <v>17</v>
          </cell>
          <cell r="GZ13">
            <v>17</v>
          </cell>
          <cell r="HA13">
            <v>17</v>
          </cell>
          <cell r="HB13">
            <v>17</v>
          </cell>
          <cell r="HC13">
            <v>18</v>
          </cell>
          <cell r="HD13">
            <v>18</v>
          </cell>
          <cell r="HE13">
            <v>18</v>
          </cell>
          <cell r="HF13">
            <v>18</v>
          </cell>
          <cell r="HG13">
            <v>18</v>
          </cell>
          <cell r="HH13">
            <v>18</v>
          </cell>
          <cell r="HI13">
            <v>18</v>
          </cell>
          <cell r="HJ13">
            <v>18</v>
          </cell>
          <cell r="HK13">
            <v>18</v>
          </cell>
          <cell r="HL13">
            <v>18</v>
          </cell>
          <cell r="HM13">
            <v>18</v>
          </cell>
          <cell r="HN13">
            <v>18</v>
          </cell>
          <cell r="HO13">
            <v>19</v>
          </cell>
          <cell r="HP13">
            <v>19</v>
          </cell>
          <cell r="HQ13">
            <v>19</v>
          </cell>
          <cell r="HR13">
            <v>19</v>
          </cell>
          <cell r="HS13">
            <v>19</v>
          </cell>
          <cell r="HT13">
            <v>19</v>
          </cell>
          <cell r="HU13">
            <v>19</v>
          </cell>
          <cell r="HV13">
            <v>19</v>
          </cell>
          <cell r="HW13">
            <v>19</v>
          </cell>
          <cell r="HX13">
            <v>19</v>
          </cell>
          <cell r="HY13">
            <v>19</v>
          </cell>
          <cell r="HZ13">
            <v>19</v>
          </cell>
          <cell r="IA13">
            <v>20</v>
          </cell>
          <cell r="IB13">
            <v>20</v>
          </cell>
          <cell r="IC13">
            <v>20</v>
          </cell>
          <cell r="ID13">
            <v>20</v>
          </cell>
          <cell r="IE13">
            <v>20</v>
          </cell>
          <cell r="IF13">
            <v>20</v>
          </cell>
          <cell r="IG13">
            <v>20</v>
          </cell>
          <cell r="IH13">
            <v>20</v>
          </cell>
          <cell r="II13">
            <v>20</v>
          </cell>
          <cell r="IJ13">
            <v>20</v>
          </cell>
          <cell r="IK13">
            <v>20</v>
          </cell>
          <cell r="IL13">
            <v>20</v>
          </cell>
          <cell r="IM13">
            <v>21</v>
          </cell>
          <cell r="IN13">
            <v>21</v>
          </cell>
          <cell r="IO13">
            <v>21</v>
          </cell>
          <cell r="IP13">
            <v>21</v>
          </cell>
          <cell r="IQ13">
            <v>21</v>
          </cell>
          <cell r="IR13">
            <v>21</v>
          </cell>
          <cell r="IS13">
            <v>21</v>
          </cell>
          <cell r="IT13">
            <v>21</v>
          </cell>
          <cell r="IU13">
            <v>21</v>
          </cell>
          <cell r="IV13">
            <v>21</v>
          </cell>
          <cell r="IW13">
            <v>21</v>
          </cell>
          <cell r="IX13">
            <v>21</v>
          </cell>
          <cell r="IY13">
            <v>22</v>
          </cell>
          <cell r="IZ13">
            <v>22</v>
          </cell>
          <cell r="JA13">
            <v>22</v>
          </cell>
          <cell r="JB13">
            <v>22</v>
          </cell>
          <cell r="JC13">
            <v>22</v>
          </cell>
          <cell r="JD13">
            <v>22</v>
          </cell>
          <cell r="JE13">
            <v>22</v>
          </cell>
          <cell r="JF13">
            <v>22</v>
          </cell>
          <cell r="JG13">
            <v>22</v>
          </cell>
          <cell r="JH13">
            <v>22</v>
          </cell>
          <cell r="JI13">
            <v>22</v>
          </cell>
          <cell r="JJ13">
            <v>22</v>
          </cell>
          <cell r="JK13">
            <v>23</v>
          </cell>
          <cell r="JL13">
            <v>23</v>
          </cell>
          <cell r="JM13">
            <v>23</v>
          </cell>
          <cell r="JN13">
            <v>23</v>
          </cell>
          <cell r="JO13">
            <v>23</v>
          </cell>
          <cell r="JP13">
            <v>23</v>
          </cell>
          <cell r="JQ13">
            <v>23</v>
          </cell>
          <cell r="JR13">
            <v>23</v>
          </cell>
          <cell r="JS13">
            <v>23</v>
          </cell>
          <cell r="JT13">
            <v>23</v>
          </cell>
          <cell r="JU13">
            <v>23</v>
          </cell>
          <cell r="JV13">
            <v>23</v>
          </cell>
          <cell r="JW13">
            <v>24</v>
          </cell>
          <cell r="JX13">
            <v>24</v>
          </cell>
          <cell r="JY13">
            <v>24</v>
          </cell>
          <cell r="JZ13">
            <v>24</v>
          </cell>
          <cell r="KA13">
            <v>24</v>
          </cell>
          <cell r="KB13">
            <v>24</v>
          </cell>
          <cell r="KC13">
            <v>24</v>
          </cell>
          <cell r="KD13">
            <v>24</v>
          </cell>
          <cell r="KE13">
            <v>24</v>
          </cell>
          <cell r="KF13">
            <v>24</v>
          </cell>
          <cell r="KG13">
            <v>24</v>
          </cell>
          <cell r="KH13">
            <v>24</v>
          </cell>
          <cell r="KI13">
            <v>25</v>
          </cell>
          <cell r="KJ13">
            <v>25</v>
          </cell>
          <cell r="KK13">
            <v>25</v>
          </cell>
          <cell r="KL13">
            <v>25</v>
          </cell>
          <cell r="KM13">
            <v>25</v>
          </cell>
          <cell r="KN13">
            <v>25</v>
          </cell>
          <cell r="KO13">
            <v>25</v>
          </cell>
          <cell r="KP13">
            <v>25</v>
          </cell>
          <cell r="KQ13">
            <v>25</v>
          </cell>
          <cell r="KR13">
            <v>25</v>
          </cell>
          <cell r="KS13">
            <v>25</v>
          </cell>
          <cell r="KT13">
            <v>25</v>
          </cell>
          <cell r="KU13">
            <v>26</v>
          </cell>
          <cell r="KV13">
            <v>26</v>
          </cell>
          <cell r="KW13">
            <v>26</v>
          </cell>
          <cell r="KX13">
            <v>26</v>
          </cell>
          <cell r="KY13">
            <v>26</v>
          </cell>
          <cell r="KZ13">
            <v>26</v>
          </cell>
          <cell r="LA13">
            <v>26</v>
          </cell>
          <cell r="LB13">
            <v>26</v>
          </cell>
          <cell r="LC13">
            <v>26</v>
          </cell>
          <cell r="LD13">
            <v>26</v>
          </cell>
          <cell r="LE13">
            <v>26</v>
          </cell>
          <cell r="LF13">
            <v>26</v>
          </cell>
          <cell r="LG13">
            <v>27</v>
          </cell>
          <cell r="LH13">
            <v>27</v>
          </cell>
          <cell r="LI13">
            <v>27</v>
          </cell>
          <cell r="LJ13">
            <v>27</v>
          </cell>
          <cell r="LK13">
            <v>27</v>
          </cell>
          <cell r="LL13">
            <v>27</v>
          </cell>
          <cell r="LM13">
            <v>27</v>
          </cell>
          <cell r="LN13">
            <v>27</v>
          </cell>
          <cell r="LO13">
            <v>27</v>
          </cell>
          <cell r="LP13">
            <v>27</v>
          </cell>
          <cell r="LQ13">
            <v>27</v>
          </cell>
          <cell r="LR13">
            <v>27</v>
          </cell>
          <cell r="LS13">
            <v>28</v>
          </cell>
          <cell r="LT13">
            <v>28</v>
          </cell>
          <cell r="LU13">
            <v>28</v>
          </cell>
          <cell r="LV13">
            <v>28</v>
          </cell>
          <cell r="LW13">
            <v>28</v>
          </cell>
          <cell r="LX13">
            <v>28</v>
          </cell>
          <cell r="LY13">
            <v>28</v>
          </cell>
          <cell r="LZ13">
            <v>28</v>
          </cell>
          <cell r="MA13">
            <v>28</v>
          </cell>
          <cell r="MB13">
            <v>28</v>
          </cell>
          <cell r="MC13">
            <v>28</v>
          </cell>
          <cell r="MD13">
            <v>28</v>
          </cell>
          <cell r="ME13">
            <v>29</v>
          </cell>
          <cell r="MF13">
            <v>29</v>
          </cell>
          <cell r="MG13">
            <v>29</v>
          </cell>
          <cell r="MH13">
            <v>29</v>
          </cell>
          <cell r="MI13">
            <v>29</v>
          </cell>
          <cell r="MJ13">
            <v>29</v>
          </cell>
          <cell r="MK13">
            <v>29</v>
          </cell>
          <cell r="ML13">
            <v>29</v>
          </cell>
          <cell r="MM13">
            <v>29</v>
          </cell>
          <cell r="MN13">
            <v>29</v>
          </cell>
          <cell r="MO13">
            <v>29</v>
          </cell>
          <cell r="MP13">
            <v>29</v>
          </cell>
          <cell r="MQ13">
            <v>30</v>
          </cell>
          <cell r="MR13">
            <v>30</v>
          </cell>
          <cell r="MS13">
            <v>30</v>
          </cell>
          <cell r="MT13">
            <v>30</v>
          </cell>
          <cell r="MU13">
            <v>30</v>
          </cell>
          <cell r="MV13">
            <v>30</v>
          </cell>
          <cell r="MW13">
            <v>30</v>
          </cell>
          <cell r="MX13">
            <v>30</v>
          </cell>
          <cell r="MY13">
            <v>30</v>
          </cell>
          <cell r="MZ13">
            <v>30</v>
          </cell>
          <cell r="NA13">
            <v>30</v>
          </cell>
          <cell r="NB13">
            <v>30</v>
          </cell>
        </row>
        <row r="17">
          <cell r="C17" t="str">
            <v>PESSOAL ADMINISTRATIVO</v>
          </cell>
          <cell r="D17" t="str">
            <v>Mensal</v>
          </cell>
          <cell r="E17">
            <v>34855.308958040077</v>
          </cell>
          <cell r="F17">
            <v>12547911.224894427</v>
          </cell>
          <cell r="G17">
            <v>34855.308958040005</v>
          </cell>
          <cell r="H17">
            <v>34855.308958040005</v>
          </cell>
          <cell r="I17">
            <v>34855.308958040005</v>
          </cell>
          <cell r="J17">
            <v>34855.308958040005</v>
          </cell>
          <cell r="K17">
            <v>34855.308958040005</v>
          </cell>
          <cell r="L17">
            <v>34855.308958040005</v>
          </cell>
          <cell r="M17">
            <v>34855.308958040005</v>
          </cell>
          <cell r="N17">
            <v>34855.308958040005</v>
          </cell>
          <cell r="O17">
            <v>34855.308958040005</v>
          </cell>
          <cell r="P17">
            <v>34855.308958040005</v>
          </cell>
          <cell r="Q17">
            <v>34855.308958040005</v>
          </cell>
          <cell r="R17">
            <v>34855.308958040005</v>
          </cell>
          <cell r="S17">
            <v>34855.308958040005</v>
          </cell>
          <cell r="T17">
            <v>34855.308958040005</v>
          </cell>
          <cell r="U17">
            <v>34855.308958040005</v>
          </cell>
          <cell r="V17">
            <v>34855.308958040005</v>
          </cell>
          <cell r="W17">
            <v>34855.308958040005</v>
          </cell>
          <cell r="X17">
            <v>34855.308958040005</v>
          </cell>
          <cell r="Y17">
            <v>34855.308958040005</v>
          </cell>
          <cell r="Z17">
            <v>34855.308958040005</v>
          </cell>
          <cell r="AA17">
            <v>34855.308958040005</v>
          </cell>
          <cell r="AB17">
            <v>34855.308958040005</v>
          </cell>
          <cell r="AC17">
            <v>34855.308958040005</v>
          </cell>
          <cell r="AD17">
            <v>34855.308958040005</v>
          </cell>
          <cell r="AE17">
            <v>34855.308958040005</v>
          </cell>
          <cell r="AF17">
            <v>34855.308958040005</v>
          </cell>
          <cell r="AG17">
            <v>34855.308958040005</v>
          </cell>
          <cell r="AH17">
            <v>34855.308958040005</v>
          </cell>
          <cell r="AI17">
            <v>34855.308958040005</v>
          </cell>
          <cell r="AJ17">
            <v>34855.308958040005</v>
          </cell>
          <cell r="AK17">
            <v>34855.308958040005</v>
          </cell>
          <cell r="AL17">
            <v>34855.308958040005</v>
          </cell>
          <cell r="AM17">
            <v>34855.308958040005</v>
          </cell>
          <cell r="AN17">
            <v>34855.308958040005</v>
          </cell>
          <cell r="AO17">
            <v>34855.308958040005</v>
          </cell>
          <cell r="AP17">
            <v>34855.308958040005</v>
          </cell>
          <cell r="AQ17">
            <v>34855.308958040005</v>
          </cell>
          <cell r="AR17">
            <v>34855.308958040005</v>
          </cell>
          <cell r="AS17">
            <v>34855.308958040005</v>
          </cell>
          <cell r="AT17">
            <v>34855.308958040005</v>
          </cell>
          <cell r="AU17">
            <v>34855.308958040005</v>
          </cell>
          <cell r="AV17">
            <v>34855.308958040005</v>
          </cell>
          <cell r="AW17">
            <v>34855.308958040005</v>
          </cell>
          <cell r="AX17">
            <v>34855.308958040005</v>
          </cell>
          <cell r="AY17">
            <v>34855.308958040005</v>
          </cell>
          <cell r="AZ17">
            <v>34855.308958040005</v>
          </cell>
          <cell r="BA17">
            <v>34855.308958040005</v>
          </cell>
          <cell r="BB17">
            <v>34855.308958040005</v>
          </cell>
          <cell r="BC17">
            <v>34855.308958040005</v>
          </cell>
          <cell r="BD17">
            <v>34855.308958040005</v>
          </cell>
          <cell r="BE17">
            <v>34855.308958040005</v>
          </cell>
          <cell r="BF17">
            <v>34855.308958040005</v>
          </cell>
          <cell r="BG17">
            <v>34855.308958040005</v>
          </cell>
          <cell r="BH17">
            <v>34855.308958040005</v>
          </cell>
          <cell r="BI17">
            <v>34855.308958040005</v>
          </cell>
          <cell r="BJ17">
            <v>34855.308958040005</v>
          </cell>
          <cell r="BK17">
            <v>34855.308958040005</v>
          </cell>
          <cell r="BL17">
            <v>34855.308958040005</v>
          </cell>
          <cell r="BM17">
            <v>34855.308958040005</v>
          </cell>
          <cell r="BN17">
            <v>34855.308958040005</v>
          </cell>
          <cell r="BO17">
            <v>34855.308958040005</v>
          </cell>
          <cell r="BP17">
            <v>34855.308958040005</v>
          </cell>
          <cell r="BQ17">
            <v>34855.308958040005</v>
          </cell>
          <cell r="BR17">
            <v>34855.308958040005</v>
          </cell>
          <cell r="BS17">
            <v>34855.308958040005</v>
          </cell>
          <cell r="BT17">
            <v>34855.308958040005</v>
          </cell>
          <cell r="BU17">
            <v>34855.308958040005</v>
          </cell>
          <cell r="BV17">
            <v>34855.308958040005</v>
          </cell>
          <cell r="BW17">
            <v>34855.308958040005</v>
          </cell>
          <cell r="BX17">
            <v>34855.308958040005</v>
          </cell>
          <cell r="BY17">
            <v>34855.308958040005</v>
          </cell>
          <cell r="BZ17">
            <v>34855.308958040005</v>
          </cell>
          <cell r="CA17">
            <v>34855.308958040005</v>
          </cell>
          <cell r="CB17">
            <v>34855.308958040005</v>
          </cell>
          <cell r="CC17">
            <v>34855.308958040005</v>
          </cell>
          <cell r="CD17">
            <v>34855.308958040005</v>
          </cell>
          <cell r="CE17">
            <v>34855.308958040005</v>
          </cell>
          <cell r="CF17">
            <v>34855.308958040005</v>
          </cell>
          <cell r="CG17">
            <v>34855.308958040005</v>
          </cell>
          <cell r="CH17">
            <v>34855.308958040005</v>
          </cell>
          <cell r="CI17">
            <v>34855.308958040005</v>
          </cell>
          <cell r="CJ17">
            <v>34855.308958040005</v>
          </cell>
          <cell r="CK17">
            <v>34855.308958040005</v>
          </cell>
          <cell r="CL17">
            <v>34855.308958040005</v>
          </cell>
          <cell r="CM17">
            <v>34855.308958040005</v>
          </cell>
          <cell r="CN17">
            <v>34855.308958040005</v>
          </cell>
          <cell r="CO17">
            <v>34855.308958040005</v>
          </cell>
          <cell r="CP17">
            <v>34855.308958040005</v>
          </cell>
          <cell r="CQ17">
            <v>34855.308958040005</v>
          </cell>
          <cell r="CR17">
            <v>34855.308958040005</v>
          </cell>
          <cell r="CS17">
            <v>34855.308958040005</v>
          </cell>
          <cell r="CT17">
            <v>34855.308958040005</v>
          </cell>
          <cell r="CU17">
            <v>34855.308958040005</v>
          </cell>
          <cell r="CV17">
            <v>34855.308958040005</v>
          </cell>
          <cell r="CW17">
            <v>34855.308958040005</v>
          </cell>
          <cell r="CX17">
            <v>34855.308958040005</v>
          </cell>
          <cell r="CY17">
            <v>34855.308958040005</v>
          </cell>
          <cell r="CZ17">
            <v>34855.308958040005</v>
          </cell>
          <cell r="DA17">
            <v>34855.308958040005</v>
          </cell>
          <cell r="DB17">
            <v>34855.308958040005</v>
          </cell>
          <cell r="DC17">
            <v>34855.308958040005</v>
          </cell>
          <cell r="DD17">
            <v>34855.308958040005</v>
          </cell>
          <cell r="DE17">
            <v>34855.308958040005</v>
          </cell>
          <cell r="DF17">
            <v>34855.308958040005</v>
          </cell>
          <cell r="DG17">
            <v>34855.308958040005</v>
          </cell>
          <cell r="DH17">
            <v>34855.308958040005</v>
          </cell>
          <cell r="DI17">
            <v>34855.308958040005</v>
          </cell>
          <cell r="DJ17">
            <v>34855.308958040005</v>
          </cell>
          <cell r="DK17">
            <v>34855.308958040005</v>
          </cell>
          <cell r="DL17">
            <v>34855.308958040005</v>
          </cell>
          <cell r="DM17">
            <v>34855.308958040005</v>
          </cell>
          <cell r="DN17">
            <v>34855.308958040005</v>
          </cell>
          <cell r="DO17">
            <v>34855.308958040005</v>
          </cell>
          <cell r="DP17">
            <v>34855.308958040005</v>
          </cell>
          <cell r="DQ17">
            <v>34855.308958040005</v>
          </cell>
          <cell r="DR17">
            <v>34855.308958040005</v>
          </cell>
          <cell r="DS17">
            <v>34855.308958040005</v>
          </cell>
          <cell r="DT17">
            <v>34855.308958040005</v>
          </cell>
          <cell r="DU17">
            <v>34855.308958040005</v>
          </cell>
          <cell r="DV17">
            <v>34855.308958040005</v>
          </cell>
          <cell r="DW17">
            <v>34855.308958040005</v>
          </cell>
          <cell r="DX17">
            <v>34855.308958040005</v>
          </cell>
          <cell r="DY17">
            <v>34855.308958040005</v>
          </cell>
          <cell r="DZ17">
            <v>34855.308958040005</v>
          </cell>
          <cell r="EA17">
            <v>34855.308958040005</v>
          </cell>
          <cell r="EB17">
            <v>34855.308958040005</v>
          </cell>
          <cell r="EC17">
            <v>34855.308958040005</v>
          </cell>
          <cell r="ED17">
            <v>34855.308958040005</v>
          </cell>
          <cell r="EE17">
            <v>34855.308958040005</v>
          </cell>
          <cell r="EF17">
            <v>34855.308958040005</v>
          </cell>
          <cell r="EG17">
            <v>34855.308958040005</v>
          </cell>
          <cell r="EH17">
            <v>34855.308958040005</v>
          </cell>
          <cell r="EI17">
            <v>34855.308958040005</v>
          </cell>
          <cell r="EJ17">
            <v>34855.308958040005</v>
          </cell>
          <cell r="EK17">
            <v>34855.308958040005</v>
          </cell>
          <cell r="EL17">
            <v>34855.308958040005</v>
          </cell>
          <cell r="EM17">
            <v>34855.308958040005</v>
          </cell>
          <cell r="EN17">
            <v>34855.308958040005</v>
          </cell>
          <cell r="EO17">
            <v>34855.308958040005</v>
          </cell>
          <cell r="EP17">
            <v>34855.308958040005</v>
          </cell>
          <cell r="EQ17">
            <v>34855.308958040005</v>
          </cell>
          <cell r="ER17">
            <v>34855.308958040005</v>
          </cell>
          <cell r="ES17">
            <v>34855.308958040005</v>
          </cell>
          <cell r="ET17">
            <v>34855.308958040005</v>
          </cell>
          <cell r="EU17">
            <v>34855.308958040005</v>
          </cell>
          <cell r="EV17">
            <v>34855.308958040005</v>
          </cell>
          <cell r="EW17">
            <v>34855.308958040005</v>
          </cell>
          <cell r="EX17">
            <v>34855.308958040005</v>
          </cell>
          <cell r="EY17">
            <v>34855.308958040005</v>
          </cell>
          <cell r="EZ17">
            <v>34855.308958040005</v>
          </cell>
          <cell r="FA17">
            <v>34855.308958040005</v>
          </cell>
          <cell r="FB17">
            <v>34855.308958040005</v>
          </cell>
          <cell r="FC17">
            <v>34855.308958040005</v>
          </cell>
          <cell r="FD17">
            <v>34855.308958040005</v>
          </cell>
          <cell r="FE17">
            <v>34855.308958040005</v>
          </cell>
          <cell r="FF17">
            <v>34855.308958040005</v>
          </cell>
          <cell r="FG17">
            <v>34855.308958040005</v>
          </cell>
          <cell r="FH17">
            <v>34855.308958040005</v>
          </cell>
          <cell r="FI17">
            <v>34855.308958040005</v>
          </cell>
          <cell r="FJ17">
            <v>34855.308958040005</v>
          </cell>
          <cell r="FK17">
            <v>34855.308958040005</v>
          </cell>
          <cell r="FL17">
            <v>34855.308958040005</v>
          </cell>
          <cell r="FM17">
            <v>34855.308958040005</v>
          </cell>
          <cell r="FN17">
            <v>34855.308958040005</v>
          </cell>
          <cell r="FO17">
            <v>34855.308958040005</v>
          </cell>
          <cell r="FP17">
            <v>34855.308958040005</v>
          </cell>
          <cell r="FQ17">
            <v>34855.308958040005</v>
          </cell>
          <cell r="FR17">
            <v>34855.308958040005</v>
          </cell>
          <cell r="FS17">
            <v>34855.308958040005</v>
          </cell>
          <cell r="FT17">
            <v>34855.308958040005</v>
          </cell>
          <cell r="FU17">
            <v>34855.308958040005</v>
          </cell>
          <cell r="FV17">
            <v>34855.308958040005</v>
          </cell>
          <cell r="FW17">
            <v>34855.308958040005</v>
          </cell>
          <cell r="FX17">
            <v>34855.308958040005</v>
          </cell>
          <cell r="FY17">
            <v>34855.308958040005</v>
          </cell>
          <cell r="FZ17">
            <v>34855.308958040005</v>
          </cell>
          <cell r="GA17">
            <v>34855.308958040005</v>
          </cell>
          <cell r="GB17">
            <v>34855.308958040005</v>
          </cell>
          <cell r="GC17">
            <v>34855.308958040005</v>
          </cell>
          <cell r="GD17">
            <v>34855.308958040005</v>
          </cell>
          <cell r="GE17">
            <v>34855.308958040005</v>
          </cell>
          <cell r="GF17">
            <v>34855.308958040005</v>
          </cell>
          <cell r="GG17">
            <v>34855.308958040005</v>
          </cell>
          <cell r="GH17">
            <v>34855.308958040005</v>
          </cell>
          <cell r="GI17">
            <v>34855.308958040005</v>
          </cell>
          <cell r="GJ17">
            <v>34855.308958040005</v>
          </cell>
          <cell r="GK17">
            <v>34855.308958040005</v>
          </cell>
          <cell r="GL17">
            <v>34855.308958040005</v>
          </cell>
          <cell r="GM17">
            <v>34855.308958040005</v>
          </cell>
          <cell r="GN17">
            <v>34855.308958040005</v>
          </cell>
          <cell r="GO17">
            <v>34855.308958040005</v>
          </cell>
          <cell r="GP17">
            <v>34855.308958040005</v>
          </cell>
          <cell r="GQ17">
            <v>34855.308958040005</v>
          </cell>
          <cell r="GR17">
            <v>34855.308958040005</v>
          </cell>
          <cell r="GS17">
            <v>34855.308958040005</v>
          </cell>
          <cell r="GT17">
            <v>34855.308958040005</v>
          </cell>
          <cell r="GU17">
            <v>34855.308958040005</v>
          </cell>
          <cell r="GV17">
            <v>34855.308958040005</v>
          </cell>
          <cell r="GW17">
            <v>34855.308958040005</v>
          </cell>
          <cell r="GX17">
            <v>34855.308958040005</v>
          </cell>
          <cell r="GY17">
            <v>34855.308958040005</v>
          </cell>
          <cell r="GZ17">
            <v>34855.308958040005</v>
          </cell>
          <cell r="HA17">
            <v>34855.308958040005</v>
          </cell>
          <cell r="HB17">
            <v>34855.308958040005</v>
          </cell>
          <cell r="HC17">
            <v>34855.308958040005</v>
          </cell>
          <cell r="HD17">
            <v>34855.308958040005</v>
          </cell>
          <cell r="HE17">
            <v>34855.308958040005</v>
          </cell>
          <cell r="HF17">
            <v>34855.308958040005</v>
          </cell>
          <cell r="HG17">
            <v>34855.308958040005</v>
          </cell>
          <cell r="HH17">
            <v>34855.308958040005</v>
          </cell>
          <cell r="HI17">
            <v>34855.308958040005</v>
          </cell>
          <cell r="HJ17">
            <v>34855.308958040005</v>
          </cell>
          <cell r="HK17">
            <v>34855.308958040005</v>
          </cell>
          <cell r="HL17">
            <v>34855.308958040005</v>
          </cell>
          <cell r="HM17">
            <v>34855.308958040005</v>
          </cell>
          <cell r="HN17">
            <v>34855.308958040005</v>
          </cell>
          <cell r="HO17">
            <v>34855.308958040005</v>
          </cell>
          <cell r="HP17">
            <v>34855.308958040005</v>
          </cell>
          <cell r="HQ17">
            <v>34855.308958040005</v>
          </cell>
          <cell r="HR17">
            <v>34855.308958040005</v>
          </cell>
          <cell r="HS17">
            <v>34855.308958040005</v>
          </cell>
          <cell r="HT17">
            <v>34855.308958040005</v>
          </cell>
          <cell r="HU17">
            <v>34855.308958040005</v>
          </cell>
          <cell r="HV17">
            <v>34855.308958040005</v>
          </cell>
          <cell r="HW17">
            <v>34855.308958040005</v>
          </cell>
          <cell r="HX17">
            <v>34855.308958040005</v>
          </cell>
          <cell r="HY17">
            <v>34855.308958040005</v>
          </cell>
          <cell r="HZ17">
            <v>34855.308958040005</v>
          </cell>
          <cell r="IA17">
            <v>34855.308958040005</v>
          </cell>
          <cell r="IB17">
            <v>34855.308958040005</v>
          </cell>
          <cell r="IC17">
            <v>34855.308958040005</v>
          </cell>
          <cell r="ID17">
            <v>34855.308958040005</v>
          </cell>
          <cell r="IE17">
            <v>34855.308958040005</v>
          </cell>
          <cell r="IF17">
            <v>34855.308958040005</v>
          </cell>
          <cell r="IG17">
            <v>34855.308958040005</v>
          </cell>
          <cell r="IH17">
            <v>34855.308958040005</v>
          </cell>
          <cell r="II17">
            <v>34855.308958040005</v>
          </cell>
          <cell r="IJ17">
            <v>34855.308958040005</v>
          </cell>
          <cell r="IK17">
            <v>34855.308958040005</v>
          </cell>
          <cell r="IL17">
            <v>34855.308958040005</v>
          </cell>
          <cell r="IM17">
            <v>34855.308958040005</v>
          </cell>
          <cell r="IN17">
            <v>34855.308958040005</v>
          </cell>
          <cell r="IO17">
            <v>34855.308958040005</v>
          </cell>
          <cell r="IP17">
            <v>34855.308958040005</v>
          </cell>
          <cell r="IQ17">
            <v>34855.308958040005</v>
          </cell>
          <cell r="IR17">
            <v>34855.308958040005</v>
          </cell>
          <cell r="IS17">
            <v>34855.308958040005</v>
          </cell>
          <cell r="IT17">
            <v>34855.308958040005</v>
          </cell>
          <cell r="IU17">
            <v>34855.308958040005</v>
          </cell>
          <cell r="IV17">
            <v>34855.308958040005</v>
          </cell>
          <cell r="IW17">
            <v>34855.308958040005</v>
          </cell>
          <cell r="IX17">
            <v>34855.308958040005</v>
          </cell>
          <cell r="IY17">
            <v>34855.308958040005</v>
          </cell>
          <cell r="IZ17">
            <v>34855.308958040005</v>
          </cell>
          <cell r="JA17">
            <v>34855.308958040005</v>
          </cell>
          <cell r="JB17">
            <v>34855.308958040005</v>
          </cell>
          <cell r="JC17">
            <v>34855.308958040005</v>
          </cell>
          <cell r="JD17">
            <v>34855.308958040005</v>
          </cell>
          <cell r="JE17">
            <v>34855.308958040005</v>
          </cell>
          <cell r="JF17">
            <v>34855.308958040005</v>
          </cell>
          <cell r="JG17">
            <v>34855.308958040005</v>
          </cell>
          <cell r="JH17">
            <v>34855.308958040005</v>
          </cell>
          <cell r="JI17">
            <v>34855.308958040005</v>
          </cell>
          <cell r="JJ17">
            <v>34855.308958040005</v>
          </cell>
          <cell r="JK17">
            <v>34855.308958040005</v>
          </cell>
          <cell r="JL17">
            <v>34855.308958040005</v>
          </cell>
          <cell r="JM17">
            <v>34855.308958040005</v>
          </cell>
          <cell r="JN17">
            <v>34855.308958040005</v>
          </cell>
          <cell r="JO17">
            <v>34855.308958040005</v>
          </cell>
          <cell r="JP17">
            <v>34855.308958040005</v>
          </cell>
          <cell r="JQ17">
            <v>34855.308958040005</v>
          </cell>
          <cell r="JR17">
            <v>34855.308958040005</v>
          </cell>
          <cell r="JS17">
            <v>34855.308958040005</v>
          </cell>
          <cell r="JT17">
            <v>34855.308958040005</v>
          </cell>
          <cell r="JU17">
            <v>34855.308958040005</v>
          </cell>
          <cell r="JV17">
            <v>34855.308958040005</v>
          </cell>
          <cell r="JW17">
            <v>34855.308958040005</v>
          </cell>
          <cell r="JX17">
            <v>34855.308958040005</v>
          </cell>
          <cell r="JY17">
            <v>34855.308958040005</v>
          </cell>
          <cell r="JZ17">
            <v>34855.308958040005</v>
          </cell>
          <cell r="KA17">
            <v>34855.308958040005</v>
          </cell>
          <cell r="KB17">
            <v>34855.308958040005</v>
          </cell>
          <cell r="KC17">
            <v>34855.308958040005</v>
          </cell>
          <cell r="KD17">
            <v>34855.308958040005</v>
          </cell>
          <cell r="KE17">
            <v>34855.308958040005</v>
          </cell>
          <cell r="KF17">
            <v>34855.308958040005</v>
          </cell>
          <cell r="KG17">
            <v>34855.308958040005</v>
          </cell>
          <cell r="KH17">
            <v>34855.308958040005</v>
          </cell>
          <cell r="KI17">
            <v>34855.308958040005</v>
          </cell>
          <cell r="KJ17">
            <v>34855.308958040005</v>
          </cell>
          <cell r="KK17">
            <v>34855.308958040005</v>
          </cell>
          <cell r="KL17">
            <v>34855.308958040005</v>
          </cell>
          <cell r="KM17">
            <v>34855.308958040005</v>
          </cell>
          <cell r="KN17">
            <v>34855.308958040005</v>
          </cell>
          <cell r="KO17">
            <v>34855.308958040005</v>
          </cell>
          <cell r="KP17">
            <v>34855.308958040005</v>
          </cell>
          <cell r="KQ17">
            <v>34855.308958040005</v>
          </cell>
          <cell r="KR17">
            <v>34855.308958040005</v>
          </cell>
          <cell r="KS17">
            <v>34855.308958040005</v>
          </cell>
          <cell r="KT17">
            <v>34855.308958040005</v>
          </cell>
          <cell r="KU17">
            <v>34855.308958040005</v>
          </cell>
          <cell r="KV17">
            <v>34855.308958040005</v>
          </cell>
          <cell r="KW17">
            <v>34855.308958040005</v>
          </cell>
          <cell r="KX17">
            <v>34855.308958040005</v>
          </cell>
          <cell r="KY17">
            <v>34855.308958040005</v>
          </cell>
          <cell r="KZ17">
            <v>34855.308958040005</v>
          </cell>
          <cell r="LA17">
            <v>34855.308958040005</v>
          </cell>
          <cell r="LB17">
            <v>34855.308958040005</v>
          </cell>
          <cell r="LC17">
            <v>34855.308958040005</v>
          </cell>
          <cell r="LD17">
            <v>34855.308958040005</v>
          </cell>
          <cell r="LE17">
            <v>34855.308958040005</v>
          </cell>
          <cell r="LF17">
            <v>34855.308958040005</v>
          </cell>
          <cell r="LG17">
            <v>34855.308958040005</v>
          </cell>
          <cell r="LH17">
            <v>34855.308958040005</v>
          </cell>
          <cell r="LI17">
            <v>34855.308958040005</v>
          </cell>
          <cell r="LJ17">
            <v>34855.308958040005</v>
          </cell>
          <cell r="LK17">
            <v>34855.308958040005</v>
          </cell>
          <cell r="LL17">
            <v>34855.308958040005</v>
          </cell>
          <cell r="LM17">
            <v>34855.308958040005</v>
          </cell>
          <cell r="LN17">
            <v>34855.308958040005</v>
          </cell>
          <cell r="LO17">
            <v>34855.308958040005</v>
          </cell>
          <cell r="LP17">
            <v>34855.308958040005</v>
          </cell>
          <cell r="LQ17">
            <v>34855.308958040005</v>
          </cell>
          <cell r="LR17">
            <v>34855.308958040005</v>
          </cell>
          <cell r="LS17">
            <v>34855.308958040005</v>
          </cell>
          <cell r="LT17">
            <v>34855.308958040005</v>
          </cell>
          <cell r="LU17">
            <v>34855.308958040005</v>
          </cell>
          <cell r="LV17">
            <v>34855.308958040005</v>
          </cell>
          <cell r="LW17">
            <v>34855.308958040005</v>
          </cell>
          <cell r="LX17">
            <v>34855.308958040005</v>
          </cell>
          <cell r="LY17">
            <v>34855.308958040005</v>
          </cell>
          <cell r="LZ17">
            <v>34855.308958040005</v>
          </cell>
          <cell r="MA17">
            <v>34855.308958040005</v>
          </cell>
          <cell r="MB17">
            <v>34855.308958040005</v>
          </cell>
          <cell r="MC17">
            <v>34855.308958040005</v>
          </cell>
          <cell r="MD17">
            <v>34855.308958040005</v>
          </cell>
          <cell r="ME17">
            <v>34855.308958040005</v>
          </cell>
          <cell r="MF17">
            <v>34855.308958040005</v>
          </cell>
          <cell r="MG17">
            <v>34855.308958040005</v>
          </cell>
          <cell r="MH17">
            <v>34855.308958040005</v>
          </cell>
          <cell r="MI17">
            <v>34855.308958040005</v>
          </cell>
          <cell r="MJ17">
            <v>34855.308958040005</v>
          </cell>
          <cell r="MK17">
            <v>34855.308958040005</v>
          </cell>
          <cell r="ML17">
            <v>34855.308958040005</v>
          </cell>
          <cell r="MM17">
            <v>34855.308958040005</v>
          </cell>
          <cell r="MN17">
            <v>34855.308958040005</v>
          </cell>
          <cell r="MO17">
            <v>34855.308958040005</v>
          </cell>
          <cell r="MP17">
            <v>34855.308958040005</v>
          </cell>
          <cell r="MQ17">
            <v>34855.308958040005</v>
          </cell>
          <cell r="MR17">
            <v>34855.308958040005</v>
          </cell>
          <cell r="MS17">
            <v>34855.308958040005</v>
          </cell>
          <cell r="MT17">
            <v>34855.308958040005</v>
          </cell>
          <cell r="MU17">
            <v>34855.308958040005</v>
          </cell>
          <cell r="MV17">
            <v>34855.308958040005</v>
          </cell>
          <cell r="MW17">
            <v>34855.308958040005</v>
          </cell>
          <cell r="MX17">
            <v>34855.308958040005</v>
          </cell>
          <cell r="MY17">
            <v>34855.308958040005</v>
          </cell>
          <cell r="MZ17">
            <v>34855.308958040005</v>
          </cell>
          <cell r="NA17">
            <v>34855.308958040005</v>
          </cell>
          <cell r="NB17">
            <v>34855.308958040005</v>
          </cell>
        </row>
        <row r="19">
          <cell r="C19" t="str">
            <v>PESSOAL OPERACIONAL</v>
          </cell>
          <cell r="D19" t="str">
            <v>Mensal</v>
          </cell>
          <cell r="E19">
            <v>84048.322958614328</v>
          </cell>
          <cell r="F19">
            <v>30257396.265101157</v>
          </cell>
          <cell r="G19">
            <v>79412.711390614539</v>
          </cell>
          <cell r="H19">
            <v>79412.711390614539</v>
          </cell>
          <cell r="I19">
            <v>79412.711390614539</v>
          </cell>
          <cell r="J19">
            <v>79412.711390614539</v>
          </cell>
          <cell r="K19">
            <v>79412.711390614539</v>
          </cell>
          <cell r="L19">
            <v>79412.711390614539</v>
          </cell>
          <cell r="M19">
            <v>79412.711390614539</v>
          </cell>
          <cell r="N19">
            <v>79412.711390614539</v>
          </cell>
          <cell r="O19">
            <v>79412.711390614539</v>
          </cell>
          <cell r="P19">
            <v>79412.711390614539</v>
          </cell>
          <cell r="Q19">
            <v>79412.711390614539</v>
          </cell>
          <cell r="R19">
            <v>79412.711390614539</v>
          </cell>
          <cell r="S19">
            <v>79412.711390614539</v>
          </cell>
          <cell r="T19">
            <v>79412.711390614539</v>
          </cell>
          <cell r="U19">
            <v>79412.711390614539</v>
          </cell>
          <cell r="V19">
            <v>79412.711390614539</v>
          </cell>
          <cell r="W19">
            <v>79412.711390614539</v>
          </cell>
          <cell r="X19">
            <v>79412.711390614539</v>
          </cell>
          <cell r="Y19">
            <v>79412.711390614539</v>
          </cell>
          <cell r="Z19">
            <v>79412.711390614539</v>
          </cell>
          <cell r="AA19">
            <v>79412.711390614539</v>
          </cell>
          <cell r="AB19">
            <v>79412.711390614539</v>
          </cell>
          <cell r="AC19">
            <v>79412.711390614539</v>
          </cell>
          <cell r="AD19">
            <v>79412.711390614539</v>
          </cell>
          <cell r="AE19">
            <v>79412.711390614539</v>
          </cell>
          <cell r="AF19">
            <v>79412.711390614539</v>
          </cell>
          <cell r="AG19">
            <v>79412.711390614539</v>
          </cell>
          <cell r="AH19">
            <v>79412.711390614539</v>
          </cell>
          <cell r="AI19">
            <v>79412.711390614539</v>
          </cell>
          <cell r="AJ19">
            <v>79412.711390614539</v>
          </cell>
          <cell r="AK19">
            <v>79412.711390614539</v>
          </cell>
          <cell r="AL19">
            <v>79412.711390614539</v>
          </cell>
          <cell r="AM19">
            <v>79412.711390614539</v>
          </cell>
          <cell r="AN19">
            <v>79412.711390614539</v>
          </cell>
          <cell r="AO19">
            <v>79412.711390614539</v>
          </cell>
          <cell r="AP19">
            <v>79412.711390614539</v>
          </cell>
          <cell r="AQ19">
            <v>84563.390910614544</v>
          </cell>
          <cell r="AR19">
            <v>84563.390910614544</v>
          </cell>
          <cell r="AS19">
            <v>84563.390910614544</v>
          </cell>
          <cell r="AT19">
            <v>84563.390910614544</v>
          </cell>
          <cell r="AU19">
            <v>84563.390910614544</v>
          </cell>
          <cell r="AV19">
            <v>84563.390910614544</v>
          </cell>
          <cell r="AW19">
            <v>84563.390910614544</v>
          </cell>
          <cell r="AX19">
            <v>84563.390910614544</v>
          </cell>
          <cell r="AY19">
            <v>84563.390910614544</v>
          </cell>
          <cell r="AZ19">
            <v>84563.390910614544</v>
          </cell>
          <cell r="BA19">
            <v>84563.390910614544</v>
          </cell>
          <cell r="BB19">
            <v>84563.390910614544</v>
          </cell>
          <cell r="BC19">
            <v>84563.390910614544</v>
          </cell>
          <cell r="BD19">
            <v>84563.390910614544</v>
          </cell>
          <cell r="BE19">
            <v>84563.390910614544</v>
          </cell>
          <cell r="BF19">
            <v>84563.390910614544</v>
          </cell>
          <cell r="BG19">
            <v>84563.390910614544</v>
          </cell>
          <cell r="BH19">
            <v>84563.390910614544</v>
          </cell>
          <cell r="BI19">
            <v>84563.390910614544</v>
          </cell>
          <cell r="BJ19">
            <v>84563.390910614544</v>
          </cell>
          <cell r="BK19">
            <v>84563.390910614544</v>
          </cell>
          <cell r="BL19">
            <v>84563.390910614544</v>
          </cell>
          <cell r="BM19">
            <v>84563.390910614544</v>
          </cell>
          <cell r="BN19">
            <v>84563.390910614544</v>
          </cell>
          <cell r="BO19">
            <v>84563.390910614544</v>
          </cell>
          <cell r="BP19">
            <v>84563.390910614544</v>
          </cell>
          <cell r="BQ19">
            <v>84563.390910614544</v>
          </cell>
          <cell r="BR19">
            <v>84563.390910614544</v>
          </cell>
          <cell r="BS19">
            <v>84563.390910614544</v>
          </cell>
          <cell r="BT19">
            <v>84563.390910614544</v>
          </cell>
          <cell r="BU19">
            <v>84563.390910614544</v>
          </cell>
          <cell r="BV19">
            <v>84563.390910614544</v>
          </cell>
          <cell r="BW19">
            <v>84563.390910614544</v>
          </cell>
          <cell r="BX19">
            <v>84563.390910614544</v>
          </cell>
          <cell r="BY19">
            <v>84563.390910614544</v>
          </cell>
          <cell r="BZ19">
            <v>84563.390910614544</v>
          </cell>
          <cell r="CA19">
            <v>84563.390910614544</v>
          </cell>
          <cell r="CB19">
            <v>84563.390910614544</v>
          </cell>
          <cell r="CC19">
            <v>84563.390910614544</v>
          </cell>
          <cell r="CD19">
            <v>84563.390910614544</v>
          </cell>
          <cell r="CE19">
            <v>84563.390910614544</v>
          </cell>
          <cell r="CF19">
            <v>84563.390910614544</v>
          </cell>
          <cell r="CG19">
            <v>84563.390910614544</v>
          </cell>
          <cell r="CH19">
            <v>84563.390910614544</v>
          </cell>
          <cell r="CI19">
            <v>84563.390910614544</v>
          </cell>
          <cell r="CJ19">
            <v>84563.390910614544</v>
          </cell>
          <cell r="CK19">
            <v>84563.390910614544</v>
          </cell>
          <cell r="CL19">
            <v>84563.390910614544</v>
          </cell>
          <cell r="CM19">
            <v>84563.390910614544</v>
          </cell>
          <cell r="CN19">
            <v>84563.390910614544</v>
          </cell>
          <cell r="CO19">
            <v>84563.390910614544</v>
          </cell>
          <cell r="CP19">
            <v>84563.390910614544</v>
          </cell>
          <cell r="CQ19">
            <v>84563.390910614544</v>
          </cell>
          <cell r="CR19">
            <v>84563.390910614544</v>
          </cell>
          <cell r="CS19">
            <v>84563.390910614544</v>
          </cell>
          <cell r="CT19">
            <v>84563.390910614544</v>
          </cell>
          <cell r="CU19">
            <v>84563.390910614544</v>
          </cell>
          <cell r="CV19">
            <v>84563.390910614544</v>
          </cell>
          <cell r="CW19">
            <v>84563.390910614544</v>
          </cell>
          <cell r="CX19">
            <v>84563.390910614544</v>
          </cell>
          <cell r="CY19">
            <v>84563.390910614544</v>
          </cell>
          <cell r="CZ19">
            <v>84563.390910614544</v>
          </cell>
          <cell r="DA19">
            <v>84563.390910614544</v>
          </cell>
          <cell r="DB19">
            <v>84563.390910614544</v>
          </cell>
          <cell r="DC19">
            <v>84563.390910614544</v>
          </cell>
          <cell r="DD19">
            <v>84563.390910614544</v>
          </cell>
          <cell r="DE19">
            <v>84563.390910614544</v>
          </cell>
          <cell r="DF19">
            <v>84563.390910614544</v>
          </cell>
          <cell r="DG19">
            <v>84563.390910614544</v>
          </cell>
          <cell r="DH19">
            <v>84563.390910614544</v>
          </cell>
          <cell r="DI19">
            <v>84563.390910614544</v>
          </cell>
          <cell r="DJ19">
            <v>84563.390910614544</v>
          </cell>
          <cell r="DK19">
            <v>84563.390910614544</v>
          </cell>
          <cell r="DL19">
            <v>84563.390910614544</v>
          </cell>
          <cell r="DM19">
            <v>84563.390910614544</v>
          </cell>
          <cell r="DN19">
            <v>84563.390910614544</v>
          </cell>
          <cell r="DO19">
            <v>84563.390910614544</v>
          </cell>
          <cell r="DP19">
            <v>84563.390910614544</v>
          </cell>
          <cell r="DQ19">
            <v>84563.390910614544</v>
          </cell>
          <cell r="DR19">
            <v>84563.390910614544</v>
          </cell>
          <cell r="DS19">
            <v>84563.390910614544</v>
          </cell>
          <cell r="DT19">
            <v>84563.390910614544</v>
          </cell>
          <cell r="DU19">
            <v>84563.390910614544</v>
          </cell>
          <cell r="DV19">
            <v>84563.390910614544</v>
          </cell>
          <cell r="DW19">
            <v>84563.390910614544</v>
          </cell>
          <cell r="DX19">
            <v>84563.390910614544</v>
          </cell>
          <cell r="DY19">
            <v>84563.390910614544</v>
          </cell>
          <cell r="DZ19">
            <v>84563.390910614544</v>
          </cell>
          <cell r="EA19">
            <v>84563.390910614544</v>
          </cell>
          <cell r="EB19">
            <v>84563.390910614544</v>
          </cell>
          <cell r="EC19">
            <v>84563.390910614544</v>
          </cell>
          <cell r="ED19">
            <v>84563.390910614544</v>
          </cell>
          <cell r="EE19">
            <v>84563.390910614544</v>
          </cell>
          <cell r="EF19">
            <v>84563.390910614544</v>
          </cell>
          <cell r="EG19">
            <v>84563.390910614544</v>
          </cell>
          <cell r="EH19">
            <v>84563.390910614544</v>
          </cell>
          <cell r="EI19">
            <v>84563.390910614544</v>
          </cell>
          <cell r="EJ19">
            <v>84563.390910614544</v>
          </cell>
          <cell r="EK19">
            <v>84563.390910614544</v>
          </cell>
          <cell r="EL19">
            <v>84563.390910614544</v>
          </cell>
          <cell r="EM19">
            <v>84563.390910614544</v>
          </cell>
          <cell r="EN19">
            <v>84563.390910614544</v>
          </cell>
          <cell r="EO19">
            <v>84563.390910614544</v>
          </cell>
          <cell r="EP19">
            <v>84563.390910614544</v>
          </cell>
          <cell r="EQ19">
            <v>84563.390910614544</v>
          </cell>
          <cell r="ER19">
            <v>84563.390910614544</v>
          </cell>
          <cell r="ES19">
            <v>84563.390910614544</v>
          </cell>
          <cell r="ET19">
            <v>84563.390910614544</v>
          </cell>
          <cell r="EU19">
            <v>84563.390910614544</v>
          </cell>
          <cell r="EV19">
            <v>84563.390910614544</v>
          </cell>
          <cell r="EW19">
            <v>84563.390910614544</v>
          </cell>
          <cell r="EX19">
            <v>84563.390910614544</v>
          </cell>
          <cell r="EY19">
            <v>84563.390910614544</v>
          </cell>
          <cell r="EZ19">
            <v>84563.390910614544</v>
          </cell>
          <cell r="FA19">
            <v>84563.390910614544</v>
          </cell>
          <cell r="FB19">
            <v>84563.390910614544</v>
          </cell>
          <cell r="FC19">
            <v>84563.390910614544</v>
          </cell>
          <cell r="FD19">
            <v>84563.390910614544</v>
          </cell>
          <cell r="FE19">
            <v>84563.390910614544</v>
          </cell>
          <cell r="FF19">
            <v>84563.390910614544</v>
          </cell>
          <cell r="FG19">
            <v>84563.390910614544</v>
          </cell>
          <cell r="FH19">
            <v>84563.390910614544</v>
          </cell>
          <cell r="FI19">
            <v>84563.390910614544</v>
          </cell>
          <cell r="FJ19">
            <v>84563.390910614544</v>
          </cell>
          <cell r="FK19">
            <v>84563.390910614544</v>
          </cell>
          <cell r="FL19">
            <v>84563.390910614544</v>
          </cell>
          <cell r="FM19">
            <v>84563.390910614544</v>
          </cell>
          <cell r="FN19">
            <v>84563.390910614544</v>
          </cell>
          <cell r="FO19">
            <v>84563.390910614544</v>
          </cell>
          <cell r="FP19">
            <v>84563.390910614544</v>
          </cell>
          <cell r="FQ19">
            <v>84563.390910614544</v>
          </cell>
          <cell r="FR19">
            <v>84563.390910614544</v>
          </cell>
          <cell r="FS19">
            <v>84563.390910614544</v>
          </cell>
          <cell r="FT19">
            <v>84563.390910614544</v>
          </cell>
          <cell r="FU19">
            <v>84563.390910614544</v>
          </cell>
          <cell r="FV19">
            <v>84563.390910614544</v>
          </cell>
          <cell r="FW19">
            <v>84563.390910614544</v>
          </cell>
          <cell r="FX19">
            <v>84563.390910614544</v>
          </cell>
          <cell r="FY19">
            <v>84563.390910614544</v>
          </cell>
          <cell r="FZ19">
            <v>84563.390910614544</v>
          </cell>
          <cell r="GA19">
            <v>84563.390910614544</v>
          </cell>
          <cell r="GB19">
            <v>84563.390910614544</v>
          </cell>
          <cell r="GC19">
            <v>84563.390910614544</v>
          </cell>
          <cell r="GD19">
            <v>84563.390910614544</v>
          </cell>
          <cell r="GE19">
            <v>84563.390910614544</v>
          </cell>
          <cell r="GF19">
            <v>84563.390910614544</v>
          </cell>
          <cell r="GG19">
            <v>84563.390910614544</v>
          </cell>
          <cell r="GH19">
            <v>84563.390910614544</v>
          </cell>
          <cell r="GI19">
            <v>84563.390910614544</v>
          </cell>
          <cell r="GJ19">
            <v>84563.390910614544</v>
          </cell>
          <cell r="GK19">
            <v>84563.390910614544</v>
          </cell>
          <cell r="GL19">
            <v>84563.390910614544</v>
          </cell>
          <cell r="GM19">
            <v>84563.390910614544</v>
          </cell>
          <cell r="GN19">
            <v>84563.390910614544</v>
          </cell>
          <cell r="GO19">
            <v>84563.390910614544</v>
          </cell>
          <cell r="GP19">
            <v>84563.390910614544</v>
          </cell>
          <cell r="GQ19">
            <v>84563.390910614544</v>
          </cell>
          <cell r="GR19">
            <v>84563.390910614544</v>
          </cell>
          <cell r="GS19">
            <v>84563.390910614544</v>
          </cell>
          <cell r="GT19">
            <v>84563.390910614544</v>
          </cell>
          <cell r="GU19">
            <v>84563.390910614544</v>
          </cell>
          <cell r="GV19">
            <v>84563.390910614544</v>
          </cell>
          <cell r="GW19">
            <v>84563.390910614544</v>
          </cell>
          <cell r="GX19">
            <v>84563.390910614544</v>
          </cell>
          <cell r="GY19">
            <v>84563.390910614544</v>
          </cell>
          <cell r="GZ19">
            <v>84563.390910614544</v>
          </cell>
          <cell r="HA19">
            <v>84563.390910614544</v>
          </cell>
          <cell r="HB19">
            <v>84563.390910614544</v>
          </cell>
          <cell r="HC19">
            <v>84563.390910614544</v>
          </cell>
          <cell r="HD19">
            <v>84563.390910614544</v>
          </cell>
          <cell r="HE19">
            <v>84563.390910614544</v>
          </cell>
          <cell r="HF19">
            <v>84563.390910614544</v>
          </cell>
          <cell r="HG19">
            <v>84563.390910614544</v>
          </cell>
          <cell r="HH19">
            <v>84563.390910614544</v>
          </cell>
          <cell r="HI19">
            <v>84563.390910614544</v>
          </cell>
          <cell r="HJ19">
            <v>84563.390910614544</v>
          </cell>
          <cell r="HK19">
            <v>84563.390910614544</v>
          </cell>
          <cell r="HL19">
            <v>84563.390910614544</v>
          </cell>
          <cell r="HM19">
            <v>84563.390910614544</v>
          </cell>
          <cell r="HN19">
            <v>84563.390910614544</v>
          </cell>
          <cell r="HO19">
            <v>84563.390910614544</v>
          </cell>
          <cell r="HP19">
            <v>84563.390910614544</v>
          </cell>
          <cell r="HQ19">
            <v>84563.390910614544</v>
          </cell>
          <cell r="HR19">
            <v>84563.390910614544</v>
          </cell>
          <cell r="HS19">
            <v>84563.390910614544</v>
          </cell>
          <cell r="HT19">
            <v>84563.390910614544</v>
          </cell>
          <cell r="HU19">
            <v>84563.390910614544</v>
          </cell>
          <cell r="HV19">
            <v>84563.390910614544</v>
          </cell>
          <cell r="HW19">
            <v>84563.390910614544</v>
          </cell>
          <cell r="HX19">
            <v>84563.390910614544</v>
          </cell>
          <cell r="HY19">
            <v>84563.390910614544</v>
          </cell>
          <cell r="HZ19">
            <v>84563.390910614544</v>
          </cell>
          <cell r="IA19">
            <v>84563.390910614544</v>
          </cell>
          <cell r="IB19">
            <v>84563.390910614544</v>
          </cell>
          <cell r="IC19">
            <v>84563.390910614544</v>
          </cell>
          <cell r="ID19">
            <v>84563.390910614544</v>
          </cell>
          <cell r="IE19">
            <v>84563.390910614544</v>
          </cell>
          <cell r="IF19">
            <v>84563.390910614544</v>
          </cell>
          <cell r="IG19">
            <v>84563.390910614544</v>
          </cell>
          <cell r="IH19">
            <v>84563.390910614544</v>
          </cell>
          <cell r="II19">
            <v>84563.390910614544</v>
          </cell>
          <cell r="IJ19">
            <v>84563.390910614544</v>
          </cell>
          <cell r="IK19">
            <v>84563.390910614544</v>
          </cell>
          <cell r="IL19">
            <v>84563.390910614544</v>
          </cell>
          <cell r="IM19">
            <v>84563.390910614544</v>
          </cell>
          <cell r="IN19">
            <v>84563.390910614544</v>
          </cell>
          <cell r="IO19">
            <v>84563.390910614544</v>
          </cell>
          <cell r="IP19">
            <v>84563.390910614544</v>
          </cell>
          <cell r="IQ19">
            <v>84563.390910614544</v>
          </cell>
          <cell r="IR19">
            <v>84563.390910614544</v>
          </cell>
          <cell r="IS19">
            <v>84563.390910614544</v>
          </cell>
          <cell r="IT19">
            <v>84563.390910614544</v>
          </cell>
          <cell r="IU19">
            <v>84563.390910614544</v>
          </cell>
          <cell r="IV19">
            <v>84563.390910614544</v>
          </cell>
          <cell r="IW19">
            <v>84563.390910614544</v>
          </cell>
          <cell r="IX19">
            <v>84563.390910614544</v>
          </cell>
          <cell r="IY19">
            <v>84563.390910614544</v>
          </cell>
          <cell r="IZ19">
            <v>84563.390910614544</v>
          </cell>
          <cell r="JA19">
            <v>84563.390910614544</v>
          </cell>
          <cell r="JB19">
            <v>84563.390910614544</v>
          </cell>
          <cell r="JC19">
            <v>84563.390910614544</v>
          </cell>
          <cell r="JD19">
            <v>84563.390910614544</v>
          </cell>
          <cell r="JE19">
            <v>84563.390910614544</v>
          </cell>
          <cell r="JF19">
            <v>84563.390910614544</v>
          </cell>
          <cell r="JG19">
            <v>84563.390910614544</v>
          </cell>
          <cell r="JH19">
            <v>84563.390910614544</v>
          </cell>
          <cell r="JI19">
            <v>84563.390910614544</v>
          </cell>
          <cell r="JJ19">
            <v>84563.390910614544</v>
          </cell>
          <cell r="JK19">
            <v>84563.390910614544</v>
          </cell>
          <cell r="JL19">
            <v>84563.390910614544</v>
          </cell>
          <cell r="JM19">
            <v>84563.390910614544</v>
          </cell>
          <cell r="JN19">
            <v>84563.390910614544</v>
          </cell>
          <cell r="JO19">
            <v>84563.390910614544</v>
          </cell>
          <cell r="JP19">
            <v>84563.390910614544</v>
          </cell>
          <cell r="JQ19">
            <v>84563.390910614544</v>
          </cell>
          <cell r="JR19">
            <v>84563.390910614544</v>
          </cell>
          <cell r="JS19">
            <v>84563.390910614544</v>
          </cell>
          <cell r="JT19">
            <v>84563.390910614544</v>
          </cell>
          <cell r="JU19">
            <v>84563.390910614544</v>
          </cell>
          <cell r="JV19">
            <v>84563.390910614544</v>
          </cell>
          <cell r="JW19">
            <v>84563.390910614544</v>
          </cell>
          <cell r="JX19">
            <v>84563.390910614544</v>
          </cell>
          <cell r="JY19">
            <v>84563.390910614544</v>
          </cell>
          <cell r="JZ19">
            <v>84563.390910614544</v>
          </cell>
          <cell r="KA19">
            <v>84563.390910614544</v>
          </cell>
          <cell r="KB19">
            <v>84563.390910614544</v>
          </cell>
          <cell r="KC19">
            <v>84563.390910614544</v>
          </cell>
          <cell r="KD19">
            <v>84563.390910614544</v>
          </cell>
          <cell r="KE19">
            <v>84563.390910614544</v>
          </cell>
          <cell r="KF19">
            <v>84563.390910614544</v>
          </cell>
          <cell r="KG19">
            <v>84563.390910614544</v>
          </cell>
          <cell r="KH19">
            <v>84563.390910614544</v>
          </cell>
          <cell r="KI19">
            <v>84563.390910614544</v>
          </cell>
          <cell r="KJ19">
            <v>84563.390910614544</v>
          </cell>
          <cell r="KK19">
            <v>84563.390910614544</v>
          </cell>
          <cell r="KL19">
            <v>84563.390910614544</v>
          </cell>
          <cell r="KM19">
            <v>84563.390910614544</v>
          </cell>
          <cell r="KN19">
            <v>84563.390910614544</v>
          </cell>
          <cell r="KO19">
            <v>84563.390910614544</v>
          </cell>
          <cell r="KP19">
            <v>84563.390910614544</v>
          </cell>
          <cell r="KQ19">
            <v>84563.390910614544</v>
          </cell>
          <cell r="KR19">
            <v>84563.390910614544</v>
          </cell>
          <cell r="KS19">
            <v>84563.390910614544</v>
          </cell>
          <cell r="KT19">
            <v>84563.390910614544</v>
          </cell>
          <cell r="KU19">
            <v>84563.390910614544</v>
          </cell>
          <cell r="KV19">
            <v>84563.390910614544</v>
          </cell>
          <cell r="KW19">
            <v>84563.390910614544</v>
          </cell>
          <cell r="KX19">
            <v>84563.390910614544</v>
          </cell>
          <cell r="KY19">
            <v>84563.390910614544</v>
          </cell>
          <cell r="KZ19">
            <v>84563.390910614544</v>
          </cell>
          <cell r="LA19">
            <v>84563.390910614544</v>
          </cell>
          <cell r="LB19">
            <v>84563.390910614544</v>
          </cell>
          <cell r="LC19">
            <v>84563.390910614544</v>
          </cell>
          <cell r="LD19">
            <v>84563.390910614544</v>
          </cell>
          <cell r="LE19">
            <v>84563.390910614544</v>
          </cell>
          <cell r="LF19">
            <v>84563.390910614544</v>
          </cell>
          <cell r="LG19">
            <v>84563.390910614544</v>
          </cell>
          <cell r="LH19">
            <v>84563.390910614544</v>
          </cell>
          <cell r="LI19">
            <v>84563.390910614544</v>
          </cell>
          <cell r="LJ19">
            <v>84563.390910614544</v>
          </cell>
          <cell r="LK19">
            <v>84563.390910614544</v>
          </cell>
          <cell r="LL19">
            <v>84563.390910614544</v>
          </cell>
          <cell r="LM19">
            <v>84563.390910614544</v>
          </cell>
          <cell r="LN19">
            <v>84563.390910614544</v>
          </cell>
          <cell r="LO19">
            <v>84563.390910614544</v>
          </cell>
          <cell r="LP19">
            <v>84563.390910614544</v>
          </cell>
          <cell r="LQ19">
            <v>84563.390910614544</v>
          </cell>
          <cell r="LR19">
            <v>84563.390910614544</v>
          </cell>
          <cell r="LS19">
            <v>84563.390910614544</v>
          </cell>
          <cell r="LT19">
            <v>84563.390910614544</v>
          </cell>
          <cell r="LU19">
            <v>84563.390910614544</v>
          </cell>
          <cell r="LV19">
            <v>84563.390910614544</v>
          </cell>
          <cell r="LW19">
            <v>84563.390910614544</v>
          </cell>
          <cell r="LX19">
            <v>84563.390910614544</v>
          </cell>
          <cell r="LY19">
            <v>84563.390910614544</v>
          </cell>
          <cell r="LZ19">
            <v>84563.390910614544</v>
          </cell>
          <cell r="MA19">
            <v>84563.390910614544</v>
          </cell>
          <cell r="MB19">
            <v>84563.390910614544</v>
          </cell>
          <cell r="MC19">
            <v>84563.390910614544</v>
          </cell>
          <cell r="MD19">
            <v>84563.390910614544</v>
          </cell>
          <cell r="ME19">
            <v>84563.390910614544</v>
          </cell>
          <cell r="MF19">
            <v>84563.390910614544</v>
          </cell>
          <cell r="MG19">
            <v>84563.390910614544</v>
          </cell>
          <cell r="MH19">
            <v>84563.390910614544</v>
          </cell>
          <cell r="MI19">
            <v>84563.390910614544</v>
          </cell>
          <cell r="MJ19">
            <v>84563.390910614544</v>
          </cell>
          <cell r="MK19">
            <v>84563.390910614544</v>
          </cell>
          <cell r="ML19">
            <v>84563.390910614544</v>
          </cell>
          <cell r="MM19">
            <v>84563.390910614544</v>
          </cell>
          <cell r="MN19">
            <v>84563.390910614544</v>
          </cell>
          <cell r="MO19">
            <v>84563.390910614544</v>
          </cell>
          <cell r="MP19">
            <v>84563.390910614544</v>
          </cell>
          <cell r="MQ19">
            <v>84563.390910614544</v>
          </cell>
          <cell r="MR19">
            <v>84563.390910614544</v>
          </cell>
          <cell r="MS19">
            <v>84563.390910614544</v>
          </cell>
          <cell r="MT19">
            <v>84563.390910614544</v>
          </cell>
          <cell r="MU19">
            <v>84563.390910614544</v>
          </cell>
          <cell r="MV19">
            <v>84563.390910614544</v>
          </cell>
          <cell r="MW19">
            <v>84563.390910614544</v>
          </cell>
          <cell r="MX19">
            <v>84563.390910614544</v>
          </cell>
          <cell r="MY19">
            <v>84563.390910614544</v>
          </cell>
          <cell r="MZ19">
            <v>84563.390910614544</v>
          </cell>
          <cell r="NA19">
            <v>84563.390910614544</v>
          </cell>
          <cell r="NB19">
            <v>84563.390910614544</v>
          </cell>
        </row>
        <row r="21">
          <cell r="C21" t="str">
            <v>ENERGIA ELÉTRICA</v>
          </cell>
          <cell r="D21" t="str">
            <v>Mensal</v>
          </cell>
          <cell r="E21">
            <v>123014.46499999985</v>
          </cell>
          <cell r="F21">
            <v>44285207.399999946</v>
          </cell>
          <cell r="G21">
            <v>128507.64999999998</v>
          </cell>
          <cell r="H21">
            <v>128507.64999999998</v>
          </cell>
          <cell r="I21">
            <v>128507.64999999998</v>
          </cell>
          <cell r="J21">
            <v>128507.64999999998</v>
          </cell>
          <cell r="K21">
            <v>128507.64999999998</v>
          </cell>
          <cell r="L21">
            <v>128507.64999999998</v>
          </cell>
          <cell r="M21">
            <v>128507.64999999998</v>
          </cell>
          <cell r="N21">
            <v>128507.64999999998</v>
          </cell>
          <cell r="O21">
            <v>128507.64999999998</v>
          </cell>
          <cell r="P21">
            <v>128507.64999999998</v>
          </cell>
          <cell r="Q21">
            <v>128507.64999999998</v>
          </cell>
          <cell r="R21">
            <v>128507.64999999998</v>
          </cell>
          <cell r="S21">
            <v>129118.93</v>
          </cell>
          <cell r="T21">
            <v>129118.93</v>
          </cell>
          <cell r="U21">
            <v>129118.93</v>
          </cell>
          <cell r="V21">
            <v>129118.93</v>
          </cell>
          <cell r="W21">
            <v>129118.93</v>
          </cell>
          <cell r="X21">
            <v>129118.93</v>
          </cell>
          <cell r="Y21">
            <v>129118.93</v>
          </cell>
          <cell r="Z21">
            <v>129118.93</v>
          </cell>
          <cell r="AA21">
            <v>129118.93</v>
          </cell>
          <cell r="AB21">
            <v>129118.93</v>
          </cell>
          <cell r="AC21">
            <v>129118.93</v>
          </cell>
          <cell r="AD21">
            <v>129118.93</v>
          </cell>
          <cell r="AE21">
            <v>128171.62999999999</v>
          </cell>
          <cell r="AF21">
            <v>128171.62999999999</v>
          </cell>
          <cell r="AG21">
            <v>128171.62999999999</v>
          </cell>
          <cell r="AH21">
            <v>128171.62999999999</v>
          </cell>
          <cell r="AI21">
            <v>128171.62999999999</v>
          </cell>
          <cell r="AJ21">
            <v>128171.62999999999</v>
          </cell>
          <cell r="AK21">
            <v>128171.62999999999</v>
          </cell>
          <cell r="AL21">
            <v>128171.62999999999</v>
          </cell>
          <cell r="AM21">
            <v>128171.62999999999</v>
          </cell>
          <cell r="AN21">
            <v>128171.62999999999</v>
          </cell>
          <cell r="AO21">
            <v>128171.62999999999</v>
          </cell>
          <cell r="AP21">
            <v>128171.62999999999</v>
          </cell>
          <cell r="AQ21">
            <v>127144.60999999999</v>
          </cell>
          <cell r="AR21">
            <v>127144.60999999999</v>
          </cell>
          <cell r="AS21">
            <v>127144.60999999999</v>
          </cell>
          <cell r="AT21">
            <v>127144.60999999999</v>
          </cell>
          <cell r="AU21">
            <v>127144.60999999999</v>
          </cell>
          <cell r="AV21">
            <v>127144.60999999999</v>
          </cell>
          <cell r="AW21">
            <v>127144.60999999999</v>
          </cell>
          <cell r="AX21">
            <v>127144.60999999999</v>
          </cell>
          <cell r="AY21">
            <v>127144.60999999999</v>
          </cell>
          <cell r="AZ21">
            <v>127144.60999999999</v>
          </cell>
          <cell r="BA21">
            <v>127144.60999999999</v>
          </cell>
          <cell r="BB21">
            <v>127144.60999999999</v>
          </cell>
          <cell r="BC21">
            <v>126067.65000000001</v>
          </cell>
          <cell r="BD21">
            <v>126067.65000000001</v>
          </cell>
          <cell r="BE21">
            <v>126067.65000000001</v>
          </cell>
          <cell r="BF21">
            <v>126067.65000000001</v>
          </cell>
          <cell r="BG21">
            <v>126067.65000000001</v>
          </cell>
          <cell r="BH21">
            <v>126067.65000000001</v>
          </cell>
          <cell r="BI21">
            <v>126067.65000000001</v>
          </cell>
          <cell r="BJ21">
            <v>126067.65000000001</v>
          </cell>
          <cell r="BK21">
            <v>126067.65000000001</v>
          </cell>
          <cell r="BL21">
            <v>126067.65000000001</v>
          </cell>
          <cell r="BM21">
            <v>126067.65000000001</v>
          </cell>
          <cell r="BN21">
            <v>126067.65000000001</v>
          </cell>
          <cell r="BO21">
            <v>124914.39</v>
          </cell>
          <cell r="BP21">
            <v>124914.39</v>
          </cell>
          <cell r="BQ21">
            <v>124914.39</v>
          </cell>
          <cell r="BR21">
            <v>124914.39</v>
          </cell>
          <cell r="BS21">
            <v>124914.39</v>
          </cell>
          <cell r="BT21">
            <v>124914.39</v>
          </cell>
          <cell r="BU21">
            <v>124914.39</v>
          </cell>
          <cell r="BV21">
            <v>124914.39</v>
          </cell>
          <cell r="BW21">
            <v>124914.39</v>
          </cell>
          <cell r="BX21">
            <v>124914.39</v>
          </cell>
          <cell r="BY21">
            <v>124914.39</v>
          </cell>
          <cell r="BZ21">
            <v>124914.39</v>
          </cell>
          <cell r="CA21">
            <v>123769.17</v>
          </cell>
          <cell r="CB21">
            <v>123769.17</v>
          </cell>
          <cell r="CC21">
            <v>123769.17</v>
          </cell>
          <cell r="CD21">
            <v>123769.17</v>
          </cell>
          <cell r="CE21">
            <v>123769.17</v>
          </cell>
          <cell r="CF21">
            <v>123769.17</v>
          </cell>
          <cell r="CG21">
            <v>123769.17</v>
          </cell>
          <cell r="CH21">
            <v>123769.17</v>
          </cell>
          <cell r="CI21">
            <v>123769.17</v>
          </cell>
          <cell r="CJ21">
            <v>123769.17</v>
          </cell>
          <cell r="CK21">
            <v>123769.17</v>
          </cell>
          <cell r="CL21">
            <v>123769.17</v>
          </cell>
          <cell r="CM21">
            <v>122523.51</v>
          </cell>
          <cell r="CN21">
            <v>122523.51</v>
          </cell>
          <cell r="CO21">
            <v>122523.51</v>
          </cell>
          <cell r="CP21">
            <v>122523.51</v>
          </cell>
          <cell r="CQ21">
            <v>122523.51</v>
          </cell>
          <cell r="CR21">
            <v>122523.51</v>
          </cell>
          <cell r="CS21">
            <v>122523.51</v>
          </cell>
          <cell r="CT21">
            <v>122523.51</v>
          </cell>
          <cell r="CU21">
            <v>122523.51</v>
          </cell>
          <cell r="CV21">
            <v>122523.51</v>
          </cell>
          <cell r="CW21">
            <v>122523.51</v>
          </cell>
          <cell r="CX21">
            <v>122523.51</v>
          </cell>
          <cell r="CY21">
            <v>121234.21</v>
          </cell>
          <cell r="CZ21">
            <v>121234.21</v>
          </cell>
          <cell r="DA21">
            <v>121234.21</v>
          </cell>
          <cell r="DB21">
            <v>121234.21</v>
          </cell>
          <cell r="DC21">
            <v>121234.21</v>
          </cell>
          <cell r="DD21">
            <v>121234.21</v>
          </cell>
          <cell r="DE21">
            <v>121234.21</v>
          </cell>
          <cell r="DF21">
            <v>121234.21</v>
          </cell>
          <cell r="DG21">
            <v>121234.21</v>
          </cell>
          <cell r="DH21">
            <v>121234.21</v>
          </cell>
          <cell r="DI21">
            <v>121234.21</v>
          </cell>
          <cell r="DJ21">
            <v>121234.21</v>
          </cell>
          <cell r="DK21">
            <v>119316.06999999999</v>
          </cell>
          <cell r="DL21">
            <v>119316.06999999999</v>
          </cell>
          <cell r="DM21">
            <v>119316.06999999999</v>
          </cell>
          <cell r="DN21">
            <v>119316.06999999999</v>
          </cell>
          <cell r="DO21">
            <v>119316.06999999999</v>
          </cell>
          <cell r="DP21">
            <v>119316.06999999999</v>
          </cell>
          <cell r="DQ21">
            <v>119316.06999999999</v>
          </cell>
          <cell r="DR21">
            <v>119316.06999999999</v>
          </cell>
          <cell r="DS21">
            <v>119316.06999999999</v>
          </cell>
          <cell r="DT21">
            <v>119316.06999999999</v>
          </cell>
          <cell r="DU21">
            <v>119316.06999999999</v>
          </cell>
          <cell r="DV21">
            <v>119316.06999999999</v>
          </cell>
          <cell r="DW21">
            <v>119746.88</v>
          </cell>
          <cell r="DX21">
            <v>119746.88</v>
          </cell>
          <cell r="DY21">
            <v>119746.88</v>
          </cell>
          <cell r="DZ21">
            <v>119746.88</v>
          </cell>
          <cell r="EA21">
            <v>119746.88</v>
          </cell>
          <cell r="EB21">
            <v>119746.88</v>
          </cell>
          <cell r="EC21">
            <v>119746.88</v>
          </cell>
          <cell r="ED21">
            <v>119746.88</v>
          </cell>
          <cell r="EE21">
            <v>119746.88</v>
          </cell>
          <cell r="EF21">
            <v>119746.88</v>
          </cell>
          <cell r="EG21">
            <v>119746.88</v>
          </cell>
          <cell r="EH21">
            <v>119746.88</v>
          </cell>
          <cell r="EI21">
            <v>120201.43</v>
          </cell>
          <cell r="EJ21">
            <v>120201.43</v>
          </cell>
          <cell r="EK21">
            <v>120201.43</v>
          </cell>
          <cell r="EL21">
            <v>120201.43</v>
          </cell>
          <cell r="EM21">
            <v>120201.43</v>
          </cell>
          <cell r="EN21">
            <v>120201.43</v>
          </cell>
          <cell r="EO21">
            <v>120201.43</v>
          </cell>
          <cell r="EP21">
            <v>120201.43</v>
          </cell>
          <cell r="EQ21">
            <v>120201.43</v>
          </cell>
          <cell r="ER21">
            <v>120201.43</v>
          </cell>
          <cell r="ES21">
            <v>120201.43</v>
          </cell>
          <cell r="ET21">
            <v>120201.43</v>
          </cell>
          <cell r="EU21">
            <v>120577.85000000002</v>
          </cell>
          <cell r="EV21">
            <v>120577.85000000002</v>
          </cell>
          <cell r="EW21">
            <v>120577.85000000002</v>
          </cell>
          <cell r="EX21">
            <v>120577.85000000002</v>
          </cell>
          <cell r="EY21">
            <v>120577.85000000002</v>
          </cell>
          <cell r="EZ21">
            <v>120577.85000000002</v>
          </cell>
          <cell r="FA21">
            <v>120577.85000000002</v>
          </cell>
          <cell r="FB21">
            <v>120577.85000000002</v>
          </cell>
          <cell r="FC21">
            <v>120577.85000000002</v>
          </cell>
          <cell r="FD21">
            <v>120577.85000000002</v>
          </cell>
          <cell r="FE21">
            <v>120577.85000000002</v>
          </cell>
          <cell r="FF21">
            <v>120577.85000000002</v>
          </cell>
          <cell r="FG21">
            <v>120927.44</v>
          </cell>
          <cell r="FH21">
            <v>120927.44</v>
          </cell>
          <cell r="FI21">
            <v>120927.44</v>
          </cell>
          <cell r="FJ21">
            <v>120927.44</v>
          </cell>
          <cell r="FK21">
            <v>120927.44</v>
          </cell>
          <cell r="FL21">
            <v>120927.44</v>
          </cell>
          <cell r="FM21">
            <v>120927.44</v>
          </cell>
          <cell r="FN21">
            <v>120927.44</v>
          </cell>
          <cell r="FO21">
            <v>120927.44</v>
          </cell>
          <cell r="FP21">
            <v>120927.44</v>
          </cell>
          <cell r="FQ21">
            <v>120927.44</v>
          </cell>
          <cell r="FR21">
            <v>120927.44</v>
          </cell>
          <cell r="FS21">
            <v>121275.62000000001</v>
          </cell>
          <cell r="FT21">
            <v>121275.62000000001</v>
          </cell>
          <cell r="FU21">
            <v>121275.62000000001</v>
          </cell>
          <cell r="FV21">
            <v>121275.62000000001</v>
          </cell>
          <cell r="FW21">
            <v>121275.62000000001</v>
          </cell>
          <cell r="FX21">
            <v>121275.62000000001</v>
          </cell>
          <cell r="FY21">
            <v>121275.62000000001</v>
          </cell>
          <cell r="FZ21">
            <v>121275.62000000001</v>
          </cell>
          <cell r="GA21">
            <v>121275.62000000001</v>
          </cell>
          <cell r="GB21">
            <v>121275.62000000001</v>
          </cell>
          <cell r="GC21">
            <v>121275.62000000001</v>
          </cell>
          <cell r="GD21">
            <v>121275.62000000001</v>
          </cell>
          <cell r="GE21">
            <v>121545.15999999999</v>
          </cell>
          <cell r="GF21">
            <v>121545.15999999999</v>
          </cell>
          <cell r="GG21">
            <v>121545.15999999999</v>
          </cell>
          <cell r="GH21">
            <v>121545.15999999999</v>
          </cell>
          <cell r="GI21">
            <v>121545.15999999999</v>
          </cell>
          <cell r="GJ21">
            <v>121545.15999999999</v>
          </cell>
          <cell r="GK21">
            <v>121545.15999999999</v>
          </cell>
          <cell r="GL21">
            <v>121545.15999999999</v>
          </cell>
          <cell r="GM21">
            <v>121545.15999999999</v>
          </cell>
          <cell r="GN21">
            <v>121545.15999999999</v>
          </cell>
          <cell r="GO21">
            <v>121545.15999999999</v>
          </cell>
          <cell r="GP21">
            <v>121545.15999999999</v>
          </cell>
          <cell r="GQ21">
            <v>121813.92</v>
          </cell>
          <cell r="GR21">
            <v>121813.92</v>
          </cell>
          <cell r="GS21">
            <v>121813.92</v>
          </cell>
          <cell r="GT21">
            <v>121813.92</v>
          </cell>
          <cell r="GU21">
            <v>121813.92</v>
          </cell>
          <cell r="GV21">
            <v>121813.92</v>
          </cell>
          <cell r="GW21">
            <v>121813.92</v>
          </cell>
          <cell r="GX21">
            <v>121813.92</v>
          </cell>
          <cell r="GY21">
            <v>121813.92</v>
          </cell>
          <cell r="GZ21">
            <v>121813.92</v>
          </cell>
          <cell r="HA21">
            <v>121813.92</v>
          </cell>
          <cell r="HB21">
            <v>121813.92</v>
          </cell>
          <cell r="HC21">
            <v>122029.38</v>
          </cell>
          <cell r="HD21">
            <v>122029.38</v>
          </cell>
          <cell r="HE21">
            <v>122029.38</v>
          </cell>
          <cell r="HF21">
            <v>122029.38</v>
          </cell>
          <cell r="HG21">
            <v>122029.38</v>
          </cell>
          <cell r="HH21">
            <v>122029.38</v>
          </cell>
          <cell r="HI21">
            <v>122029.38</v>
          </cell>
          <cell r="HJ21">
            <v>122029.38</v>
          </cell>
          <cell r="HK21">
            <v>122029.38</v>
          </cell>
          <cell r="HL21">
            <v>122029.38</v>
          </cell>
          <cell r="HM21">
            <v>122029.38</v>
          </cell>
          <cell r="HN21">
            <v>122029.38</v>
          </cell>
          <cell r="HO21">
            <v>122243.15000000001</v>
          </cell>
          <cell r="HP21">
            <v>122243.15000000001</v>
          </cell>
          <cell r="HQ21">
            <v>122243.15000000001</v>
          </cell>
          <cell r="HR21">
            <v>122243.15000000001</v>
          </cell>
          <cell r="HS21">
            <v>122243.15000000001</v>
          </cell>
          <cell r="HT21">
            <v>122243.15000000001</v>
          </cell>
          <cell r="HU21">
            <v>122243.15000000001</v>
          </cell>
          <cell r="HV21">
            <v>122243.15000000001</v>
          </cell>
          <cell r="HW21">
            <v>122243.15000000001</v>
          </cell>
          <cell r="HX21">
            <v>122243.15000000001</v>
          </cell>
          <cell r="HY21">
            <v>122243.15000000001</v>
          </cell>
          <cell r="HZ21">
            <v>122243.15000000001</v>
          </cell>
          <cell r="IA21">
            <v>122430.52</v>
          </cell>
          <cell r="IB21">
            <v>122430.52</v>
          </cell>
          <cell r="IC21">
            <v>122430.52</v>
          </cell>
          <cell r="ID21">
            <v>122430.52</v>
          </cell>
          <cell r="IE21">
            <v>122430.52</v>
          </cell>
          <cell r="IF21">
            <v>122430.52</v>
          </cell>
          <cell r="IG21">
            <v>122430.52</v>
          </cell>
          <cell r="IH21">
            <v>122430.52</v>
          </cell>
          <cell r="II21">
            <v>122430.52</v>
          </cell>
          <cell r="IJ21">
            <v>122430.52</v>
          </cell>
          <cell r="IK21">
            <v>122430.52</v>
          </cell>
          <cell r="IL21">
            <v>122430.52</v>
          </cell>
          <cell r="IM21">
            <v>122564.81999999999</v>
          </cell>
          <cell r="IN21">
            <v>122564.81999999999</v>
          </cell>
          <cell r="IO21">
            <v>122564.81999999999</v>
          </cell>
          <cell r="IP21">
            <v>122564.81999999999</v>
          </cell>
          <cell r="IQ21">
            <v>122564.81999999999</v>
          </cell>
          <cell r="IR21">
            <v>122564.81999999999</v>
          </cell>
          <cell r="IS21">
            <v>122564.81999999999</v>
          </cell>
          <cell r="IT21">
            <v>122564.81999999999</v>
          </cell>
          <cell r="IU21">
            <v>122564.81999999999</v>
          </cell>
          <cell r="IV21">
            <v>122564.81999999999</v>
          </cell>
          <cell r="IW21">
            <v>122564.81999999999</v>
          </cell>
          <cell r="IX21">
            <v>122564.81999999999</v>
          </cell>
          <cell r="IY21">
            <v>122672.23999999999</v>
          </cell>
          <cell r="IZ21">
            <v>122672.23999999999</v>
          </cell>
          <cell r="JA21">
            <v>122672.23999999999</v>
          </cell>
          <cell r="JB21">
            <v>122672.23999999999</v>
          </cell>
          <cell r="JC21">
            <v>122672.23999999999</v>
          </cell>
          <cell r="JD21">
            <v>122672.23999999999</v>
          </cell>
          <cell r="JE21">
            <v>122672.23999999999</v>
          </cell>
          <cell r="JF21">
            <v>122672.23999999999</v>
          </cell>
          <cell r="JG21">
            <v>122672.23999999999</v>
          </cell>
          <cell r="JH21">
            <v>122672.23999999999</v>
          </cell>
          <cell r="JI21">
            <v>122672.23999999999</v>
          </cell>
          <cell r="JJ21">
            <v>122672.23999999999</v>
          </cell>
          <cell r="JK21">
            <v>122727.03999999999</v>
          </cell>
          <cell r="JL21">
            <v>122727.03999999999</v>
          </cell>
          <cell r="JM21">
            <v>122727.03999999999</v>
          </cell>
          <cell r="JN21">
            <v>122727.03999999999</v>
          </cell>
          <cell r="JO21">
            <v>122727.03999999999</v>
          </cell>
          <cell r="JP21">
            <v>122727.03999999999</v>
          </cell>
          <cell r="JQ21">
            <v>122727.03999999999</v>
          </cell>
          <cell r="JR21">
            <v>122727.03999999999</v>
          </cell>
          <cell r="JS21">
            <v>122727.03999999999</v>
          </cell>
          <cell r="JT21">
            <v>122727.03999999999</v>
          </cell>
          <cell r="JU21">
            <v>122727.03999999999</v>
          </cell>
          <cell r="JV21">
            <v>122727.03999999999</v>
          </cell>
          <cell r="JW21">
            <v>122780.33</v>
          </cell>
          <cell r="JX21">
            <v>122780.33</v>
          </cell>
          <cell r="JY21">
            <v>122780.33</v>
          </cell>
          <cell r="JZ21">
            <v>122780.33</v>
          </cell>
          <cell r="KA21">
            <v>122780.33</v>
          </cell>
          <cell r="KB21">
            <v>122780.33</v>
          </cell>
          <cell r="KC21">
            <v>122780.33</v>
          </cell>
          <cell r="KD21">
            <v>122780.33</v>
          </cell>
          <cell r="KE21">
            <v>122780.33</v>
          </cell>
          <cell r="KF21">
            <v>122780.33</v>
          </cell>
          <cell r="KG21">
            <v>122780.33</v>
          </cell>
          <cell r="KH21">
            <v>122780.33</v>
          </cell>
          <cell r="KI21">
            <v>122807.19</v>
          </cell>
          <cell r="KJ21">
            <v>122807.19</v>
          </cell>
          <cell r="KK21">
            <v>122807.19</v>
          </cell>
          <cell r="KL21">
            <v>122807.19</v>
          </cell>
          <cell r="KM21">
            <v>122807.19</v>
          </cell>
          <cell r="KN21">
            <v>122807.19</v>
          </cell>
          <cell r="KO21">
            <v>122807.19</v>
          </cell>
          <cell r="KP21">
            <v>122807.19</v>
          </cell>
          <cell r="KQ21">
            <v>122807.19</v>
          </cell>
          <cell r="KR21">
            <v>122807.19</v>
          </cell>
          <cell r="KS21">
            <v>122807.19</v>
          </cell>
          <cell r="KT21">
            <v>122807.19</v>
          </cell>
          <cell r="KU21">
            <v>122834.48</v>
          </cell>
          <cell r="KV21">
            <v>122834.48</v>
          </cell>
          <cell r="KW21">
            <v>122834.48</v>
          </cell>
          <cell r="KX21">
            <v>122834.48</v>
          </cell>
          <cell r="KY21">
            <v>122834.48</v>
          </cell>
          <cell r="KZ21">
            <v>122834.48</v>
          </cell>
          <cell r="LA21">
            <v>122834.48</v>
          </cell>
          <cell r="LB21">
            <v>122834.48</v>
          </cell>
          <cell r="LC21">
            <v>122834.48</v>
          </cell>
          <cell r="LD21">
            <v>122834.48</v>
          </cell>
          <cell r="LE21">
            <v>122834.48</v>
          </cell>
          <cell r="LF21">
            <v>122834.48</v>
          </cell>
          <cell r="LG21">
            <v>122754.75</v>
          </cell>
          <cell r="LH21">
            <v>122754.75</v>
          </cell>
          <cell r="LI21">
            <v>122754.75</v>
          </cell>
          <cell r="LJ21">
            <v>122754.75</v>
          </cell>
          <cell r="LK21">
            <v>122754.75</v>
          </cell>
          <cell r="LL21">
            <v>122754.75</v>
          </cell>
          <cell r="LM21">
            <v>122754.75</v>
          </cell>
          <cell r="LN21">
            <v>122754.75</v>
          </cell>
          <cell r="LO21">
            <v>122754.75</v>
          </cell>
          <cell r="LP21">
            <v>122754.75</v>
          </cell>
          <cell r="LQ21">
            <v>122754.75</v>
          </cell>
          <cell r="LR21">
            <v>122754.75</v>
          </cell>
          <cell r="LS21">
            <v>122675.45</v>
          </cell>
          <cell r="LT21">
            <v>122675.45</v>
          </cell>
          <cell r="LU21">
            <v>122675.45</v>
          </cell>
          <cell r="LV21">
            <v>122675.45</v>
          </cell>
          <cell r="LW21">
            <v>122675.45</v>
          </cell>
          <cell r="LX21">
            <v>122675.45</v>
          </cell>
          <cell r="LY21">
            <v>122675.45</v>
          </cell>
          <cell r="LZ21">
            <v>122675.45</v>
          </cell>
          <cell r="MA21">
            <v>122675.45</v>
          </cell>
          <cell r="MB21">
            <v>122675.45</v>
          </cell>
          <cell r="MC21">
            <v>122675.45</v>
          </cell>
          <cell r="MD21">
            <v>122675.45</v>
          </cell>
          <cell r="ME21">
            <v>122595.32</v>
          </cell>
          <cell r="MF21">
            <v>122595.32</v>
          </cell>
          <cell r="MG21">
            <v>122595.32</v>
          </cell>
          <cell r="MH21">
            <v>122595.32</v>
          </cell>
          <cell r="MI21">
            <v>122595.32</v>
          </cell>
          <cell r="MJ21">
            <v>122595.32</v>
          </cell>
          <cell r="MK21">
            <v>122595.32</v>
          </cell>
          <cell r="ML21">
            <v>122595.32</v>
          </cell>
          <cell r="MM21">
            <v>122595.32</v>
          </cell>
          <cell r="MN21">
            <v>122595.32</v>
          </cell>
          <cell r="MO21">
            <v>122595.32</v>
          </cell>
          <cell r="MP21">
            <v>122595.32</v>
          </cell>
          <cell r="MQ21">
            <v>122463.15999999999</v>
          </cell>
          <cell r="MR21">
            <v>122463.15999999999</v>
          </cell>
          <cell r="MS21">
            <v>122463.15999999999</v>
          </cell>
          <cell r="MT21">
            <v>122463.15999999999</v>
          </cell>
          <cell r="MU21">
            <v>122463.15999999999</v>
          </cell>
          <cell r="MV21">
            <v>122463.15999999999</v>
          </cell>
          <cell r="MW21">
            <v>122463.15999999999</v>
          </cell>
          <cell r="MX21">
            <v>122463.15999999999</v>
          </cell>
          <cell r="MY21">
            <v>122463.15999999999</v>
          </cell>
          <cell r="MZ21">
            <v>122463.15999999999</v>
          </cell>
          <cell r="NA21">
            <v>122463.15999999999</v>
          </cell>
          <cell r="NB21">
            <v>122463.15999999999</v>
          </cell>
        </row>
        <row r="23">
          <cell r="C23" t="str">
            <v>PRODUTOS QUÍMICOS</v>
          </cell>
          <cell r="D23" t="str">
            <v>Mensal</v>
          </cell>
          <cell r="E23">
            <v>22435.569784526735</v>
          </cell>
          <cell r="F23">
            <v>8076805.1224296251</v>
          </cell>
          <cell r="G23">
            <v>23235.792628434287</v>
          </cell>
          <cell r="H23">
            <v>23235.792628434287</v>
          </cell>
          <cell r="I23">
            <v>23235.792628434287</v>
          </cell>
          <cell r="J23">
            <v>23235.792628434287</v>
          </cell>
          <cell r="K23">
            <v>23235.792628434287</v>
          </cell>
          <cell r="L23">
            <v>23235.792628434287</v>
          </cell>
          <cell r="M23">
            <v>23235.792628434287</v>
          </cell>
          <cell r="N23">
            <v>23235.792628434287</v>
          </cell>
          <cell r="O23">
            <v>23235.792628434287</v>
          </cell>
          <cell r="P23">
            <v>23235.792628434287</v>
          </cell>
          <cell r="Q23">
            <v>23235.792628434287</v>
          </cell>
          <cell r="R23">
            <v>23235.792628434287</v>
          </cell>
          <cell r="S23">
            <v>23365.80486812149</v>
          </cell>
          <cell r="T23">
            <v>23365.80486812149</v>
          </cell>
          <cell r="U23">
            <v>23365.80486812149</v>
          </cell>
          <cell r="V23">
            <v>23365.80486812149</v>
          </cell>
          <cell r="W23">
            <v>23365.80486812149</v>
          </cell>
          <cell r="X23">
            <v>23365.80486812149</v>
          </cell>
          <cell r="Y23">
            <v>23365.80486812149</v>
          </cell>
          <cell r="Z23">
            <v>23365.80486812149</v>
          </cell>
          <cell r="AA23">
            <v>23365.80486812149</v>
          </cell>
          <cell r="AB23">
            <v>23365.80486812149</v>
          </cell>
          <cell r="AC23">
            <v>23365.80486812149</v>
          </cell>
          <cell r="AD23">
            <v>23365.80486812149</v>
          </cell>
          <cell r="AE23">
            <v>23218.62736093155</v>
          </cell>
          <cell r="AF23">
            <v>23218.62736093155</v>
          </cell>
          <cell r="AG23">
            <v>23218.62736093155</v>
          </cell>
          <cell r="AH23">
            <v>23218.62736093155</v>
          </cell>
          <cell r="AI23">
            <v>23218.62736093155</v>
          </cell>
          <cell r="AJ23">
            <v>23218.62736093155</v>
          </cell>
          <cell r="AK23">
            <v>23218.62736093155</v>
          </cell>
          <cell r="AL23">
            <v>23218.62736093155</v>
          </cell>
          <cell r="AM23">
            <v>23218.62736093155</v>
          </cell>
          <cell r="AN23">
            <v>23218.62736093155</v>
          </cell>
          <cell r="AO23">
            <v>23218.62736093155</v>
          </cell>
          <cell r="AP23">
            <v>23218.62736093155</v>
          </cell>
          <cell r="AQ23">
            <v>23057.653369743322</v>
          </cell>
          <cell r="AR23">
            <v>23057.653369743322</v>
          </cell>
          <cell r="AS23">
            <v>23057.653369743322</v>
          </cell>
          <cell r="AT23">
            <v>23057.653369743322</v>
          </cell>
          <cell r="AU23">
            <v>23057.653369743322</v>
          </cell>
          <cell r="AV23">
            <v>23057.653369743322</v>
          </cell>
          <cell r="AW23">
            <v>23057.653369743322</v>
          </cell>
          <cell r="AX23">
            <v>23057.653369743322</v>
          </cell>
          <cell r="AY23">
            <v>23057.653369743322</v>
          </cell>
          <cell r="AZ23">
            <v>23057.653369743322</v>
          </cell>
          <cell r="BA23">
            <v>23057.653369743322</v>
          </cell>
          <cell r="BB23">
            <v>23057.653369743322</v>
          </cell>
          <cell r="BC23">
            <v>22887.715213646527</v>
          </cell>
          <cell r="BD23">
            <v>22887.715213646527</v>
          </cell>
          <cell r="BE23">
            <v>22887.715213646527</v>
          </cell>
          <cell r="BF23">
            <v>22887.715213646527</v>
          </cell>
          <cell r="BG23">
            <v>22887.715213646527</v>
          </cell>
          <cell r="BH23">
            <v>22887.715213646527</v>
          </cell>
          <cell r="BI23">
            <v>22887.715213646527</v>
          </cell>
          <cell r="BJ23">
            <v>22887.715213646527</v>
          </cell>
          <cell r="BK23">
            <v>22887.715213646527</v>
          </cell>
          <cell r="BL23">
            <v>22887.715213646527</v>
          </cell>
          <cell r="BM23">
            <v>22887.715213646527</v>
          </cell>
          <cell r="BN23">
            <v>22887.715213646527</v>
          </cell>
          <cell r="BO23">
            <v>22704.326018221953</v>
          </cell>
          <cell r="BP23">
            <v>22704.326018221953</v>
          </cell>
          <cell r="BQ23">
            <v>22704.326018221953</v>
          </cell>
          <cell r="BR23">
            <v>22704.326018221953</v>
          </cell>
          <cell r="BS23">
            <v>22704.326018221953</v>
          </cell>
          <cell r="BT23">
            <v>22704.326018221953</v>
          </cell>
          <cell r="BU23">
            <v>22704.326018221953</v>
          </cell>
          <cell r="BV23">
            <v>22704.326018221953</v>
          </cell>
          <cell r="BW23">
            <v>22704.326018221953</v>
          </cell>
          <cell r="BX23">
            <v>22704.326018221953</v>
          </cell>
          <cell r="BY23">
            <v>22704.326018221953</v>
          </cell>
          <cell r="BZ23">
            <v>22704.326018221953</v>
          </cell>
          <cell r="CA23">
            <v>22521.969454916583</v>
          </cell>
          <cell r="CB23">
            <v>22521.969454916583</v>
          </cell>
          <cell r="CC23">
            <v>22521.969454916583</v>
          </cell>
          <cell r="CD23">
            <v>22521.969454916583</v>
          </cell>
          <cell r="CE23">
            <v>22521.969454916583</v>
          </cell>
          <cell r="CF23">
            <v>22521.969454916583</v>
          </cell>
          <cell r="CG23">
            <v>22521.969454916583</v>
          </cell>
          <cell r="CH23">
            <v>22521.969454916583</v>
          </cell>
          <cell r="CI23">
            <v>22521.969454916583</v>
          </cell>
          <cell r="CJ23">
            <v>22521.969454916583</v>
          </cell>
          <cell r="CK23">
            <v>22521.969454916583</v>
          </cell>
          <cell r="CL23">
            <v>22521.969454916583</v>
          </cell>
          <cell r="CM23">
            <v>22322.098064249047</v>
          </cell>
          <cell r="CN23">
            <v>22322.098064249047</v>
          </cell>
          <cell r="CO23">
            <v>22322.098064249047</v>
          </cell>
          <cell r="CP23">
            <v>22322.098064249047</v>
          </cell>
          <cell r="CQ23">
            <v>22322.098064249047</v>
          </cell>
          <cell r="CR23">
            <v>22322.098064249047</v>
          </cell>
          <cell r="CS23">
            <v>22322.098064249047</v>
          </cell>
          <cell r="CT23">
            <v>22322.098064249047</v>
          </cell>
          <cell r="CU23">
            <v>22322.098064249047</v>
          </cell>
          <cell r="CV23">
            <v>22322.098064249047</v>
          </cell>
          <cell r="CW23">
            <v>22322.098064249047</v>
          </cell>
          <cell r="CX23">
            <v>22322.098064249047</v>
          </cell>
          <cell r="CY23">
            <v>22114.511474173847</v>
          </cell>
          <cell r="CZ23">
            <v>22114.511474173847</v>
          </cell>
          <cell r="DA23">
            <v>22114.511474173847</v>
          </cell>
          <cell r="DB23">
            <v>22114.511474173847</v>
          </cell>
          <cell r="DC23">
            <v>22114.511474173847</v>
          </cell>
          <cell r="DD23">
            <v>22114.511474173847</v>
          </cell>
          <cell r="DE23">
            <v>22114.511474173847</v>
          </cell>
          <cell r="DF23">
            <v>22114.511474173847</v>
          </cell>
          <cell r="DG23">
            <v>22114.511474173847</v>
          </cell>
          <cell r="DH23">
            <v>22114.511474173847</v>
          </cell>
          <cell r="DI23">
            <v>22114.511474173847</v>
          </cell>
          <cell r="DJ23">
            <v>22114.511474173847</v>
          </cell>
          <cell r="DK23">
            <v>21800.977596328248</v>
          </cell>
          <cell r="DL23">
            <v>21800.977596328248</v>
          </cell>
          <cell r="DM23">
            <v>21800.977596328248</v>
          </cell>
          <cell r="DN23">
            <v>21800.977596328248</v>
          </cell>
          <cell r="DO23">
            <v>21800.977596328248</v>
          </cell>
          <cell r="DP23">
            <v>21800.977596328248</v>
          </cell>
          <cell r="DQ23">
            <v>21800.977596328248</v>
          </cell>
          <cell r="DR23">
            <v>21800.977596328248</v>
          </cell>
          <cell r="DS23">
            <v>21800.977596328248</v>
          </cell>
          <cell r="DT23">
            <v>21800.977596328248</v>
          </cell>
          <cell r="DU23">
            <v>21800.977596328248</v>
          </cell>
          <cell r="DV23">
            <v>21800.977596328248</v>
          </cell>
          <cell r="DW23">
            <v>21880.611422782185</v>
          </cell>
          <cell r="DX23">
            <v>21880.611422782185</v>
          </cell>
          <cell r="DY23">
            <v>21880.611422782185</v>
          </cell>
          <cell r="DZ23">
            <v>21880.611422782185</v>
          </cell>
          <cell r="EA23">
            <v>21880.611422782185</v>
          </cell>
          <cell r="EB23">
            <v>21880.611422782185</v>
          </cell>
          <cell r="EC23">
            <v>21880.611422782185</v>
          </cell>
          <cell r="ED23">
            <v>21880.611422782185</v>
          </cell>
          <cell r="EE23">
            <v>21880.611422782185</v>
          </cell>
          <cell r="EF23">
            <v>21880.611422782185</v>
          </cell>
          <cell r="EG23">
            <v>21880.611422782185</v>
          </cell>
          <cell r="EH23">
            <v>21880.611422782185</v>
          </cell>
          <cell r="EI23">
            <v>21963.590721135228</v>
          </cell>
          <cell r="EJ23">
            <v>21963.590721135228</v>
          </cell>
          <cell r="EK23">
            <v>21963.590721135228</v>
          </cell>
          <cell r="EL23">
            <v>21963.590721135228</v>
          </cell>
          <cell r="EM23">
            <v>21963.590721135228</v>
          </cell>
          <cell r="EN23">
            <v>21963.590721135228</v>
          </cell>
          <cell r="EO23">
            <v>21963.590721135228</v>
          </cell>
          <cell r="EP23">
            <v>21963.590721135228</v>
          </cell>
          <cell r="EQ23">
            <v>21963.590721135228</v>
          </cell>
          <cell r="ER23">
            <v>21963.590721135228</v>
          </cell>
          <cell r="ES23">
            <v>21963.590721135228</v>
          </cell>
          <cell r="ET23">
            <v>21963.590721135228</v>
          </cell>
          <cell r="EU23">
            <v>22032.987460281856</v>
          </cell>
          <cell r="EV23">
            <v>22032.987460281856</v>
          </cell>
          <cell r="EW23">
            <v>22032.987460281856</v>
          </cell>
          <cell r="EX23">
            <v>22032.987460281856</v>
          </cell>
          <cell r="EY23">
            <v>22032.987460281856</v>
          </cell>
          <cell r="EZ23">
            <v>22032.987460281856</v>
          </cell>
          <cell r="FA23">
            <v>22032.987460281856</v>
          </cell>
          <cell r="FB23">
            <v>22032.987460281856</v>
          </cell>
          <cell r="FC23">
            <v>22032.987460281856</v>
          </cell>
          <cell r="FD23">
            <v>22032.987460281856</v>
          </cell>
          <cell r="FE23">
            <v>22032.987460281856</v>
          </cell>
          <cell r="FF23">
            <v>22032.987460281856</v>
          </cell>
          <cell r="FG23">
            <v>22097.466178024817</v>
          </cell>
          <cell r="FH23">
            <v>22097.466178024817</v>
          </cell>
          <cell r="FI23">
            <v>22097.466178024817</v>
          </cell>
          <cell r="FJ23">
            <v>22097.466178024817</v>
          </cell>
          <cell r="FK23">
            <v>22097.466178024817</v>
          </cell>
          <cell r="FL23">
            <v>22097.466178024817</v>
          </cell>
          <cell r="FM23">
            <v>22097.466178024817</v>
          </cell>
          <cell r="FN23">
            <v>22097.466178024817</v>
          </cell>
          <cell r="FO23">
            <v>22097.466178024817</v>
          </cell>
          <cell r="FP23">
            <v>22097.466178024817</v>
          </cell>
          <cell r="FQ23">
            <v>22097.466178024817</v>
          </cell>
          <cell r="FR23">
            <v>22097.466178024817</v>
          </cell>
          <cell r="FS23">
            <v>22161.216192366875</v>
          </cell>
          <cell r="FT23">
            <v>22161.216192366875</v>
          </cell>
          <cell r="FU23">
            <v>22161.216192366875</v>
          </cell>
          <cell r="FV23">
            <v>22161.216192366875</v>
          </cell>
          <cell r="FW23">
            <v>22161.216192366875</v>
          </cell>
          <cell r="FX23">
            <v>22161.216192366875</v>
          </cell>
          <cell r="FY23">
            <v>22161.216192366875</v>
          </cell>
          <cell r="FZ23">
            <v>22161.216192366875</v>
          </cell>
          <cell r="GA23">
            <v>22161.216192366875</v>
          </cell>
          <cell r="GB23">
            <v>22161.216192366875</v>
          </cell>
          <cell r="GC23">
            <v>22161.216192366875</v>
          </cell>
          <cell r="GD23">
            <v>22161.216192366875</v>
          </cell>
          <cell r="GE23">
            <v>22211.135948700714</v>
          </cell>
          <cell r="GF23">
            <v>22211.135948700714</v>
          </cell>
          <cell r="GG23">
            <v>22211.135948700714</v>
          </cell>
          <cell r="GH23">
            <v>22211.135948700714</v>
          </cell>
          <cell r="GI23">
            <v>22211.135948700714</v>
          </cell>
          <cell r="GJ23">
            <v>22211.135948700714</v>
          </cell>
          <cell r="GK23">
            <v>22211.135948700714</v>
          </cell>
          <cell r="GL23">
            <v>22211.135948700714</v>
          </cell>
          <cell r="GM23">
            <v>22211.135948700714</v>
          </cell>
          <cell r="GN23">
            <v>22211.135948700714</v>
          </cell>
          <cell r="GO23">
            <v>22211.135948700714</v>
          </cell>
          <cell r="GP23">
            <v>22211.135948700714</v>
          </cell>
          <cell r="GQ23">
            <v>22260.648086034536</v>
          </cell>
          <cell r="GR23">
            <v>22260.648086034536</v>
          </cell>
          <cell r="GS23">
            <v>22260.648086034536</v>
          </cell>
          <cell r="GT23">
            <v>22260.648086034536</v>
          </cell>
          <cell r="GU23">
            <v>22260.648086034536</v>
          </cell>
          <cell r="GV23">
            <v>22260.648086034536</v>
          </cell>
          <cell r="GW23">
            <v>22260.648086034536</v>
          </cell>
          <cell r="GX23">
            <v>22260.648086034536</v>
          </cell>
          <cell r="GY23">
            <v>22260.648086034536</v>
          </cell>
          <cell r="GZ23">
            <v>22260.648086034536</v>
          </cell>
          <cell r="HA23">
            <v>22260.648086034536</v>
          </cell>
          <cell r="HB23">
            <v>22260.648086034536</v>
          </cell>
          <cell r="HC23">
            <v>22300.495117561059</v>
          </cell>
          <cell r="HD23">
            <v>22300.495117561059</v>
          </cell>
          <cell r="HE23">
            <v>22300.495117561059</v>
          </cell>
          <cell r="HF23">
            <v>22300.495117561059</v>
          </cell>
          <cell r="HG23">
            <v>22300.495117561059</v>
          </cell>
          <cell r="HH23">
            <v>22300.495117561059</v>
          </cell>
          <cell r="HI23">
            <v>22300.495117561059</v>
          </cell>
          <cell r="HJ23">
            <v>22300.495117561059</v>
          </cell>
          <cell r="HK23">
            <v>22300.495117561059</v>
          </cell>
          <cell r="HL23">
            <v>22300.495117561059</v>
          </cell>
          <cell r="HM23">
            <v>22300.495117561059</v>
          </cell>
          <cell r="HN23">
            <v>22300.495117561059</v>
          </cell>
          <cell r="HO23">
            <v>22339.476447285739</v>
          </cell>
          <cell r="HP23">
            <v>22339.476447285739</v>
          </cell>
          <cell r="HQ23">
            <v>22339.476447285739</v>
          </cell>
          <cell r="HR23">
            <v>22339.476447285739</v>
          </cell>
          <cell r="HS23">
            <v>22339.476447285739</v>
          </cell>
          <cell r="HT23">
            <v>22339.476447285739</v>
          </cell>
          <cell r="HU23">
            <v>22339.476447285739</v>
          </cell>
          <cell r="HV23">
            <v>22339.476447285739</v>
          </cell>
          <cell r="HW23">
            <v>22339.476447285739</v>
          </cell>
          <cell r="HX23">
            <v>22339.476447285739</v>
          </cell>
          <cell r="HY23">
            <v>22339.476447285739</v>
          </cell>
          <cell r="HZ23">
            <v>22339.476447285739</v>
          </cell>
          <cell r="IA23">
            <v>22373.741432908599</v>
          </cell>
          <cell r="IB23">
            <v>22373.741432908599</v>
          </cell>
          <cell r="IC23">
            <v>22373.741432908599</v>
          </cell>
          <cell r="ID23">
            <v>22373.741432908599</v>
          </cell>
          <cell r="IE23">
            <v>22373.741432908599</v>
          </cell>
          <cell r="IF23">
            <v>22373.741432908599</v>
          </cell>
          <cell r="IG23">
            <v>22373.741432908599</v>
          </cell>
          <cell r="IH23">
            <v>22373.741432908599</v>
          </cell>
          <cell r="II23">
            <v>22373.741432908599</v>
          </cell>
          <cell r="IJ23">
            <v>22373.741432908599</v>
          </cell>
          <cell r="IK23">
            <v>22373.741432908599</v>
          </cell>
          <cell r="IL23">
            <v>22373.741432908599</v>
          </cell>
          <cell r="IM23">
            <v>22398.45858762506</v>
          </cell>
          <cell r="IN23">
            <v>22398.45858762506</v>
          </cell>
          <cell r="IO23">
            <v>22398.45858762506</v>
          </cell>
          <cell r="IP23">
            <v>22398.45858762506</v>
          </cell>
          <cell r="IQ23">
            <v>22398.45858762506</v>
          </cell>
          <cell r="IR23">
            <v>22398.45858762506</v>
          </cell>
          <cell r="IS23">
            <v>22398.45858762506</v>
          </cell>
          <cell r="IT23">
            <v>22398.45858762506</v>
          </cell>
          <cell r="IU23">
            <v>22398.45858762506</v>
          </cell>
          <cell r="IV23">
            <v>22398.45858762506</v>
          </cell>
          <cell r="IW23">
            <v>22398.45858762506</v>
          </cell>
          <cell r="IX23">
            <v>22398.45858762506</v>
          </cell>
          <cell r="IY23">
            <v>22418.224848437854</v>
          </cell>
          <cell r="IZ23">
            <v>22418.224848437854</v>
          </cell>
          <cell r="JA23">
            <v>22418.224848437854</v>
          </cell>
          <cell r="JB23">
            <v>22418.224848437854</v>
          </cell>
          <cell r="JC23">
            <v>22418.224848437854</v>
          </cell>
          <cell r="JD23">
            <v>22418.224848437854</v>
          </cell>
          <cell r="JE23">
            <v>22418.224848437854</v>
          </cell>
          <cell r="JF23">
            <v>22418.224848437854</v>
          </cell>
          <cell r="JG23">
            <v>22418.224848437854</v>
          </cell>
          <cell r="JH23">
            <v>22418.224848437854</v>
          </cell>
          <cell r="JI23">
            <v>22418.224848437854</v>
          </cell>
          <cell r="JJ23">
            <v>22418.224848437854</v>
          </cell>
          <cell r="JK23">
            <v>22428.664679146092</v>
          </cell>
          <cell r="JL23">
            <v>22428.664679146092</v>
          </cell>
          <cell r="JM23">
            <v>22428.664679146092</v>
          </cell>
          <cell r="JN23">
            <v>22428.664679146092</v>
          </cell>
          <cell r="JO23">
            <v>22428.664679146092</v>
          </cell>
          <cell r="JP23">
            <v>22428.664679146092</v>
          </cell>
          <cell r="JQ23">
            <v>22428.664679146092</v>
          </cell>
          <cell r="JR23">
            <v>22428.664679146092</v>
          </cell>
          <cell r="JS23">
            <v>22428.664679146092</v>
          </cell>
          <cell r="JT23">
            <v>22428.664679146092</v>
          </cell>
          <cell r="JU23">
            <v>22428.664679146092</v>
          </cell>
          <cell r="JV23">
            <v>22428.664679146092</v>
          </cell>
          <cell r="JW23">
            <v>22438.331917151576</v>
          </cell>
          <cell r="JX23">
            <v>22438.331917151576</v>
          </cell>
          <cell r="JY23">
            <v>22438.331917151576</v>
          </cell>
          <cell r="JZ23">
            <v>22438.331917151576</v>
          </cell>
          <cell r="KA23">
            <v>22438.331917151576</v>
          </cell>
          <cell r="KB23">
            <v>22438.331917151576</v>
          </cell>
          <cell r="KC23">
            <v>22438.331917151576</v>
          </cell>
          <cell r="KD23">
            <v>22438.331917151576</v>
          </cell>
          <cell r="KE23">
            <v>22438.331917151576</v>
          </cell>
          <cell r="KF23">
            <v>22438.331917151576</v>
          </cell>
          <cell r="KG23">
            <v>22438.331917151576</v>
          </cell>
          <cell r="KH23">
            <v>22438.331917151576</v>
          </cell>
          <cell r="KI23">
            <v>22443.27623655523</v>
          </cell>
          <cell r="KJ23">
            <v>22443.27623655523</v>
          </cell>
          <cell r="KK23">
            <v>22443.27623655523</v>
          </cell>
          <cell r="KL23">
            <v>22443.27623655523</v>
          </cell>
          <cell r="KM23">
            <v>22443.27623655523</v>
          </cell>
          <cell r="KN23">
            <v>22443.27623655523</v>
          </cell>
          <cell r="KO23">
            <v>22443.27623655523</v>
          </cell>
          <cell r="KP23">
            <v>22443.27623655523</v>
          </cell>
          <cell r="KQ23">
            <v>22443.27623655523</v>
          </cell>
          <cell r="KR23">
            <v>22443.27623655523</v>
          </cell>
          <cell r="KS23">
            <v>22443.27623655523</v>
          </cell>
          <cell r="KT23">
            <v>22443.27623655523</v>
          </cell>
          <cell r="KU23">
            <v>22448.437514458885</v>
          </cell>
          <cell r="KV23">
            <v>22448.437514458885</v>
          </cell>
          <cell r="KW23">
            <v>22448.437514458885</v>
          </cell>
          <cell r="KX23">
            <v>22448.437514458885</v>
          </cell>
          <cell r="KY23">
            <v>22448.437514458885</v>
          </cell>
          <cell r="KZ23">
            <v>22448.437514458885</v>
          </cell>
          <cell r="LA23">
            <v>22448.437514458885</v>
          </cell>
          <cell r="LB23">
            <v>22448.437514458885</v>
          </cell>
          <cell r="LC23">
            <v>22448.437514458885</v>
          </cell>
          <cell r="LD23">
            <v>22448.437514458885</v>
          </cell>
          <cell r="LE23">
            <v>22448.437514458885</v>
          </cell>
          <cell r="LF23">
            <v>22448.437514458885</v>
          </cell>
          <cell r="LG23">
            <v>22434.045225653404</v>
          </cell>
          <cell r="LH23">
            <v>22434.045225653404</v>
          </cell>
          <cell r="LI23">
            <v>22434.045225653404</v>
          </cell>
          <cell r="LJ23">
            <v>22434.045225653404</v>
          </cell>
          <cell r="LK23">
            <v>22434.045225653404</v>
          </cell>
          <cell r="LL23">
            <v>22434.045225653404</v>
          </cell>
          <cell r="LM23">
            <v>22434.045225653404</v>
          </cell>
          <cell r="LN23">
            <v>22434.045225653404</v>
          </cell>
          <cell r="LO23">
            <v>22434.045225653404</v>
          </cell>
          <cell r="LP23">
            <v>22434.045225653404</v>
          </cell>
          <cell r="LQ23">
            <v>22434.045225653404</v>
          </cell>
          <cell r="LR23">
            <v>22434.045225653404</v>
          </cell>
          <cell r="LS23">
            <v>22419.876469847932</v>
          </cell>
          <cell r="LT23">
            <v>22419.876469847932</v>
          </cell>
          <cell r="LU23">
            <v>22419.876469847932</v>
          </cell>
          <cell r="LV23">
            <v>22419.876469847932</v>
          </cell>
          <cell r="LW23">
            <v>22419.876469847932</v>
          </cell>
          <cell r="LX23">
            <v>22419.876469847932</v>
          </cell>
          <cell r="LY23">
            <v>22419.876469847932</v>
          </cell>
          <cell r="LZ23">
            <v>22419.876469847932</v>
          </cell>
          <cell r="MA23">
            <v>22419.876469847932</v>
          </cell>
          <cell r="MB23">
            <v>22419.876469847932</v>
          </cell>
          <cell r="MC23">
            <v>22419.876469847932</v>
          </cell>
          <cell r="MD23">
            <v>22419.876469847932</v>
          </cell>
          <cell r="ME23">
            <v>22405.273797042453</v>
          </cell>
          <cell r="MF23">
            <v>22405.273797042453</v>
          </cell>
          <cell r="MG23">
            <v>22405.273797042453</v>
          </cell>
          <cell r="MH23">
            <v>22405.273797042453</v>
          </cell>
          <cell r="MI23">
            <v>22405.273797042453</v>
          </cell>
          <cell r="MJ23">
            <v>22405.273797042453</v>
          </cell>
          <cell r="MK23">
            <v>22405.273797042453</v>
          </cell>
          <cell r="ML23">
            <v>22405.273797042453</v>
          </cell>
          <cell r="MM23">
            <v>22405.273797042453</v>
          </cell>
          <cell r="MN23">
            <v>22405.273797042453</v>
          </cell>
          <cell r="MO23">
            <v>22405.273797042453</v>
          </cell>
          <cell r="MP23">
            <v>22405.273797042453</v>
          </cell>
          <cell r="MQ23">
            <v>22381.65920403332</v>
          </cell>
          <cell r="MR23">
            <v>22381.65920403332</v>
          </cell>
          <cell r="MS23">
            <v>22381.65920403332</v>
          </cell>
          <cell r="MT23">
            <v>22381.65920403332</v>
          </cell>
          <cell r="MU23">
            <v>22381.65920403332</v>
          </cell>
          <cell r="MV23">
            <v>22381.65920403332</v>
          </cell>
          <cell r="MW23">
            <v>22381.65920403332</v>
          </cell>
          <cell r="MX23">
            <v>22381.65920403332</v>
          </cell>
          <cell r="MY23">
            <v>22381.65920403332</v>
          </cell>
          <cell r="MZ23">
            <v>22381.65920403332</v>
          </cell>
          <cell r="NA23">
            <v>22381.65920403332</v>
          </cell>
          <cell r="NB23">
            <v>22381.65920403332</v>
          </cell>
        </row>
        <row r="25">
          <cell r="C25" t="str">
            <v>OUTROS CUSTOS OPERACIONAIS</v>
          </cell>
          <cell r="D25" t="str">
            <v>Mensal</v>
          </cell>
          <cell r="E25">
            <v>100676.90807644516</v>
          </cell>
          <cell r="F25">
            <v>36243686.907520257</v>
          </cell>
          <cell r="G25">
            <v>95112.359276444477</v>
          </cell>
          <cell r="H25">
            <v>95112.359276444477</v>
          </cell>
          <cell r="I25">
            <v>95112.359276444477</v>
          </cell>
          <cell r="J25">
            <v>95112.359276444477</v>
          </cell>
          <cell r="K25">
            <v>95112.359276444477</v>
          </cell>
          <cell r="L25">
            <v>95112.359276444477</v>
          </cell>
          <cell r="M25">
            <v>95112.359276444477</v>
          </cell>
          <cell r="N25">
            <v>95112.359276444477</v>
          </cell>
          <cell r="O25">
            <v>95112.359276444477</v>
          </cell>
          <cell r="P25">
            <v>95112.359276444477</v>
          </cell>
          <cell r="Q25">
            <v>95112.359276444477</v>
          </cell>
          <cell r="R25">
            <v>95112.359276444477</v>
          </cell>
          <cell r="S25">
            <v>95112.359276444477</v>
          </cell>
          <cell r="T25">
            <v>95112.359276444477</v>
          </cell>
          <cell r="U25">
            <v>95112.359276444477</v>
          </cell>
          <cell r="V25">
            <v>95112.359276444477</v>
          </cell>
          <cell r="W25">
            <v>95112.359276444477</v>
          </cell>
          <cell r="X25">
            <v>95112.359276444477</v>
          </cell>
          <cell r="Y25">
            <v>95112.359276444477</v>
          </cell>
          <cell r="Z25">
            <v>95112.359276444477</v>
          </cell>
          <cell r="AA25">
            <v>95112.359276444477</v>
          </cell>
          <cell r="AB25">
            <v>95112.359276444477</v>
          </cell>
          <cell r="AC25">
            <v>95112.359276444477</v>
          </cell>
          <cell r="AD25">
            <v>95112.359276444477</v>
          </cell>
          <cell r="AE25">
            <v>95112.359276444477</v>
          </cell>
          <cell r="AF25">
            <v>95112.359276444477</v>
          </cell>
          <cell r="AG25">
            <v>95112.359276444477</v>
          </cell>
          <cell r="AH25">
            <v>95112.359276444477</v>
          </cell>
          <cell r="AI25">
            <v>95112.359276444477</v>
          </cell>
          <cell r="AJ25">
            <v>95112.359276444477</v>
          </cell>
          <cell r="AK25">
            <v>95112.359276444477</v>
          </cell>
          <cell r="AL25">
            <v>95112.359276444477</v>
          </cell>
          <cell r="AM25">
            <v>95112.359276444477</v>
          </cell>
          <cell r="AN25">
            <v>95112.359276444477</v>
          </cell>
          <cell r="AO25">
            <v>95112.359276444477</v>
          </cell>
          <cell r="AP25">
            <v>95112.359276444477</v>
          </cell>
          <cell r="AQ25">
            <v>101295.19127644447</v>
          </cell>
          <cell r="AR25">
            <v>101295.19127644447</v>
          </cell>
          <cell r="AS25">
            <v>101295.19127644447</v>
          </cell>
          <cell r="AT25">
            <v>101295.19127644447</v>
          </cell>
          <cell r="AU25">
            <v>101295.19127644447</v>
          </cell>
          <cell r="AV25">
            <v>101295.19127644447</v>
          </cell>
          <cell r="AW25">
            <v>101295.19127644447</v>
          </cell>
          <cell r="AX25">
            <v>101295.19127644447</v>
          </cell>
          <cell r="AY25">
            <v>101295.19127644447</v>
          </cell>
          <cell r="AZ25">
            <v>101295.19127644447</v>
          </cell>
          <cell r="BA25">
            <v>101295.19127644447</v>
          </cell>
          <cell r="BB25">
            <v>101295.19127644447</v>
          </cell>
          <cell r="BC25">
            <v>101295.19127644447</v>
          </cell>
          <cell r="BD25">
            <v>101295.19127644447</v>
          </cell>
          <cell r="BE25">
            <v>101295.19127644447</v>
          </cell>
          <cell r="BF25">
            <v>101295.19127644447</v>
          </cell>
          <cell r="BG25">
            <v>101295.19127644447</v>
          </cell>
          <cell r="BH25">
            <v>101295.19127644447</v>
          </cell>
          <cell r="BI25">
            <v>101295.19127644447</v>
          </cell>
          <cell r="BJ25">
            <v>101295.19127644447</v>
          </cell>
          <cell r="BK25">
            <v>101295.19127644447</v>
          </cell>
          <cell r="BL25">
            <v>101295.19127644447</v>
          </cell>
          <cell r="BM25">
            <v>101295.19127644447</v>
          </cell>
          <cell r="BN25">
            <v>101295.19127644447</v>
          </cell>
          <cell r="BO25">
            <v>101295.19127644447</v>
          </cell>
          <cell r="BP25">
            <v>101295.19127644447</v>
          </cell>
          <cell r="BQ25">
            <v>101295.19127644447</v>
          </cell>
          <cell r="BR25">
            <v>101295.19127644447</v>
          </cell>
          <cell r="BS25">
            <v>101295.19127644447</v>
          </cell>
          <cell r="BT25">
            <v>101295.19127644447</v>
          </cell>
          <cell r="BU25">
            <v>101295.19127644447</v>
          </cell>
          <cell r="BV25">
            <v>101295.19127644447</v>
          </cell>
          <cell r="BW25">
            <v>101295.19127644447</v>
          </cell>
          <cell r="BX25">
            <v>101295.19127644447</v>
          </cell>
          <cell r="BY25">
            <v>101295.19127644447</v>
          </cell>
          <cell r="BZ25">
            <v>101295.19127644447</v>
          </cell>
          <cell r="CA25">
            <v>101295.19127644447</v>
          </cell>
          <cell r="CB25">
            <v>101295.19127644447</v>
          </cell>
          <cell r="CC25">
            <v>101295.19127644447</v>
          </cell>
          <cell r="CD25">
            <v>101295.19127644447</v>
          </cell>
          <cell r="CE25">
            <v>101295.19127644447</v>
          </cell>
          <cell r="CF25">
            <v>101295.19127644447</v>
          </cell>
          <cell r="CG25">
            <v>101295.19127644447</v>
          </cell>
          <cell r="CH25">
            <v>101295.19127644447</v>
          </cell>
          <cell r="CI25">
            <v>101295.19127644447</v>
          </cell>
          <cell r="CJ25">
            <v>101295.19127644447</v>
          </cell>
          <cell r="CK25">
            <v>101295.19127644447</v>
          </cell>
          <cell r="CL25">
            <v>101295.19127644447</v>
          </cell>
          <cell r="CM25">
            <v>101295.19127644447</v>
          </cell>
          <cell r="CN25">
            <v>101295.19127644447</v>
          </cell>
          <cell r="CO25">
            <v>101295.19127644447</v>
          </cell>
          <cell r="CP25">
            <v>101295.19127644447</v>
          </cell>
          <cell r="CQ25">
            <v>101295.19127644447</v>
          </cell>
          <cell r="CR25">
            <v>101295.19127644447</v>
          </cell>
          <cell r="CS25">
            <v>101295.19127644447</v>
          </cell>
          <cell r="CT25">
            <v>101295.19127644447</v>
          </cell>
          <cell r="CU25">
            <v>101295.19127644447</v>
          </cell>
          <cell r="CV25">
            <v>101295.19127644447</v>
          </cell>
          <cell r="CW25">
            <v>101295.19127644447</v>
          </cell>
          <cell r="CX25">
            <v>101295.19127644447</v>
          </cell>
          <cell r="CY25">
            <v>101295.19127644447</v>
          </cell>
          <cell r="CZ25">
            <v>101295.19127644447</v>
          </cell>
          <cell r="DA25">
            <v>101295.19127644447</v>
          </cell>
          <cell r="DB25">
            <v>101295.19127644447</v>
          </cell>
          <cell r="DC25">
            <v>101295.19127644447</v>
          </cell>
          <cell r="DD25">
            <v>101295.19127644447</v>
          </cell>
          <cell r="DE25">
            <v>101295.19127644447</v>
          </cell>
          <cell r="DF25">
            <v>101295.19127644447</v>
          </cell>
          <cell r="DG25">
            <v>101295.19127644447</v>
          </cell>
          <cell r="DH25">
            <v>101295.19127644447</v>
          </cell>
          <cell r="DI25">
            <v>101295.19127644447</v>
          </cell>
          <cell r="DJ25">
            <v>101295.19127644447</v>
          </cell>
          <cell r="DK25">
            <v>101295.19127644447</v>
          </cell>
          <cell r="DL25">
            <v>101295.19127644447</v>
          </cell>
          <cell r="DM25">
            <v>101295.19127644447</v>
          </cell>
          <cell r="DN25">
            <v>101295.19127644447</v>
          </cell>
          <cell r="DO25">
            <v>101295.19127644447</v>
          </cell>
          <cell r="DP25">
            <v>101295.19127644447</v>
          </cell>
          <cell r="DQ25">
            <v>101295.19127644447</v>
          </cell>
          <cell r="DR25">
            <v>101295.19127644447</v>
          </cell>
          <cell r="DS25">
            <v>101295.19127644447</v>
          </cell>
          <cell r="DT25">
            <v>101295.19127644447</v>
          </cell>
          <cell r="DU25">
            <v>101295.19127644447</v>
          </cell>
          <cell r="DV25">
            <v>101295.19127644447</v>
          </cell>
          <cell r="DW25">
            <v>101295.19127644447</v>
          </cell>
          <cell r="DX25">
            <v>101295.19127644447</v>
          </cell>
          <cell r="DY25">
            <v>101295.19127644447</v>
          </cell>
          <cell r="DZ25">
            <v>101295.19127644447</v>
          </cell>
          <cell r="EA25">
            <v>101295.19127644447</v>
          </cell>
          <cell r="EB25">
            <v>101295.19127644447</v>
          </cell>
          <cell r="EC25">
            <v>101295.19127644447</v>
          </cell>
          <cell r="ED25">
            <v>101295.19127644447</v>
          </cell>
          <cell r="EE25">
            <v>101295.19127644447</v>
          </cell>
          <cell r="EF25">
            <v>101295.19127644447</v>
          </cell>
          <cell r="EG25">
            <v>101295.19127644447</v>
          </cell>
          <cell r="EH25">
            <v>101295.19127644447</v>
          </cell>
          <cell r="EI25">
            <v>101295.19127644447</v>
          </cell>
          <cell r="EJ25">
            <v>101295.19127644447</v>
          </cell>
          <cell r="EK25">
            <v>101295.19127644447</v>
          </cell>
          <cell r="EL25">
            <v>101295.19127644447</v>
          </cell>
          <cell r="EM25">
            <v>101295.19127644447</v>
          </cell>
          <cell r="EN25">
            <v>101295.19127644447</v>
          </cell>
          <cell r="EO25">
            <v>101295.19127644447</v>
          </cell>
          <cell r="EP25">
            <v>101295.19127644447</v>
          </cell>
          <cell r="EQ25">
            <v>101295.19127644447</v>
          </cell>
          <cell r="ER25">
            <v>101295.19127644447</v>
          </cell>
          <cell r="ES25">
            <v>101295.19127644447</v>
          </cell>
          <cell r="ET25">
            <v>101295.19127644447</v>
          </cell>
          <cell r="EU25">
            <v>101295.19127644447</v>
          </cell>
          <cell r="EV25">
            <v>101295.19127644447</v>
          </cell>
          <cell r="EW25">
            <v>101295.19127644447</v>
          </cell>
          <cell r="EX25">
            <v>101295.19127644447</v>
          </cell>
          <cell r="EY25">
            <v>101295.19127644447</v>
          </cell>
          <cell r="EZ25">
            <v>101295.19127644447</v>
          </cell>
          <cell r="FA25">
            <v>101295.19127644447</v>
          </cell>
          <cell r="FB25">
            <v>101295.19127644447</v>
          </cell>
          <cell r="FC25">
            <v>101295.19127644447</v>
          </cell>
          <cell r="FD25">
            <v>101295.19127644447</v>
          </cell>
          <cell r="FE25">
            <v>101295.19127644447</v>
          </cell>
          <cell r="FF25">
            <v>101295.19127644447</v>
          </cell>
          <cell r="FG25">
            <v>101295.19127644447</v>
          </cell>
          <cell r="FH25">
            <v>101295.19127644447</v>
          </cell>
          <cell r="FI25">
            <v>101295.19127644447</v>
          </cell>
          <cell r="FJ25">
            <v>101295.19127644447</v>
          </cell>
          <cell r="FK25">
            <v>101295.19127644447</v>
          </cell>
          <cell r="FL25">
            <v>101295.19127644447</v>
          </cell>
          <cell r="FM25">
            <v>101295.19127644447</v>
          </cell>
          <cell r="FN25">
            <v>101295.19127644447</v>
          </cell>
          <cell r="FO25">
            <v>101295.19127644447</v>
          </cell>
          <cell r="FP25">
            <v>101295.19127644447</v>
          </cell>
          <cell r="FQ25">
            <v>101295.19127644447</v>
          </cell>
          <cell r="FR25">
            <v>101295.19127644447</v>
          </cell>
          <cell r="FS25">
            <v>101295.19127644447</v>
          </cell>
          <cell r="FT25">
            <v>101295.19127644447</v>
          </cell>
          <cell r="FU25">
            <v>101295.19127644447</v>
          </cell>
          <cell r="FV25">
            <v>101295.19127644447</v>
          </cell>
          <cell r="FW25">
            <v>101295.19127644447</v>
          </cell>
          <cell r="FX25">
            <v>101295.19127644447</v>
          </cell>
          <cell r="FY25">
            <v>101295.19127644447</v>
          </cell>
          <cell r="FZ25">
            <v>101295.19127644447</v>
          </cell>
          <cell r="GA25">
            <v>101295.19127644447</v>
          </cell>
          <cell r="GB25">
            <v>101295.19127644447</v>
          </cell>
          <cell r="GC25">
            <v>101295.19127644447</v>
          </cell>
          <cell r="GD25">
            <v>101295.19127644447</v>
          </cell>
          <cell r="GE25">
            <v>101295.19127644447</v>
          </cell>
          <cell r="GF25">
            <v>101295.19127644447</v>
          </cell>
          <cell r="GG25">
            <v>101295.19127644447</v>
          </cell>
          <cell r="GH25">
            <v>101295.19127644447</v>
          </cell>
          <cell r="GI25">
            <v>101295.19127644447</v>
          </cell>
          <cell r="GJ25">
            <v>101295.19127644447</v>
          </cell>
          <cell r="GK25">
            <v>101295.19127644447</v>
          </cell>
          <cell r="GL25">
            <v>101295.19127644447</v>
          </cell>
          <cell r="GM25">
            <v>101295.19127644447</v>
          </cell>
          <cell r="GN25">
            <v>101295.19127644447</v>
          </cell>
          <cell r="GO25">
            <v>101295.19127644447</v>
          </cell>
          <cell r="GP25">
            <v>101295.19127644447</v>
          </cell>
          <cell r="GQ25">
            <v>101295.19127644447</v>
          </cell>
          <cell r="GR25">
            <v>101295.19127644447</v>
          </cell>
          <cell r="GS25">
            <v>101295.19127644447</v>
          </cell>
          <cell r="GT25">
            <v>101295.19127644447</v>
          </cell>
          <cell r="GU25">
            <v>101295.19127644447</v>
          </cell>
          <cell r="GV25">
            <v>101295.19127644447</v>
          </cell>
          <cell r="GW25">
            <v>101295.19127644447</v>
          </cell>
          <cell r="GX25">
            <v>101295.19127644447</v>
          </cell>
          <cell r="GY25">
            <v>101295.19127644447</v>
          </cell>
          <cell r="GZ25">
            <v>101295.19127644447</v>
          </cell>
          <cell r="HA25">
            <v>101295.19127644447</v>
          </cell>
          <cell r="HB25">
            <v>101295.19127644447</v>
          </cell>
          <cell r="HC25">
            <v>101295.19127644447</v>
          </cell>
          <cell r="HD25">
            <v>101295.19127644447</v>
          </cell>
          <cell r="HE25">
            <v>101295.19127644447</v>
          </cell>
          <cell r="HF25">
            <v>101295.19127644447</v>
          </cell>
          <cell r="HG25">
            <v>101295.19127644447</v>
          </cell>
          <cell r="HH25">
            <v>101295.19127644447</v>
          </cell>
          <cell r="HI25">
            <v>101295.19127644447</v>
          </cell>
          <cell r="HJ25">
            <v>101295.19127644447</v>
          </cell>
          <cell r="HK25">
            <v>101295.19127644447</v>
          </cell>
          <cell r="HL25">
            <v>101295.19127644447</v>
          </cell>
          <cell r="HM25">
            <v>101295.19127644447</v>
          </cell>
          <cell r="HN25">
            <v>101295.19127644447</v>
          </cell>
          <cell r="HO25">
            <v>101295.19127644447</v>
          </cell>
          <cell r="HP25">
            <v>101295.19127644447</v>
          </cell>
          <cell r="HQ25">
            <v>101295.19127644447</v>
          </cell>
          <cell r="HR25">
            <v>101295.19127644447</v>
          </cell>
          <cell r="HS25">
            <v>101295.19127644447</v>
          </cell>
          <cell r="HT25">
            <v>101295.19127644447</v>
          </cell>
          <cell r="HU25">
            <v>101295.19127644447</v>
          </cell>
          <cell r="HV25">
            <v>101295.19127644447</v>
          </cell>
          <cell r="HW25">
            <v>101295.19127644447</v>
          </cell>
          <cell r="HX25">
            <v>101295.19127644447</v>
          </cell>
          <cell r="HY25">
            <v>101295.19127644447</v>
          </cell>
          <cell r="HZ25">
            <v>101295.19127644447</v>
          </cell>
          <cell r="IA25">
            <v>101295.19127644447</v>
          </cell>
          <cell r="IB25">
            <v>101295.19127644447</v>
          </cell>
          <cell r="IC25">
            <v>101295.19127644447</v>
          </cell>
          <cell r="ID25">
            <v>101295.19127644447</v>
          </cell>
          <cell r="IE25">
            <v>101295.19127644447</v>
          </cell>
          <cell r="IF25">
            <v>101295.19127644447</v>
          </cell>
          <cell r="IG25">
            <v>101295.19127644447</v>
          </cell>
          <cell r="IH25">
            <v>101295.19127644447</v>
          </cell>
          <cell r="II25">
            <v>101295.19127644447</v>
          </cell>
          <cell r="IJ25">
            <v>101295.19127644447</v>
          </cell>
          <cell r="IK25">
            <v>101295.19127644447</v>
          </cell>
          <cell r="IL25">
            <v>101295.19127644447</v>
          </cell>
          <cell r="IM25">
            <v>101295.19127644447</v>
          </cell>
          <cell r="IN25">
            <v>101295.19127644447</v>
          </cell>
          <cell r="IO25">
            <v>101295.19127644447</v>
          </cell>
          <cell r="IP25">
            <v>101295.19127644447</v>
          </cell>
          <cell r="IQ25">
            <v>101295.19127644447</v>
          </cell>
          <cell r="IR25">
            <v>101295.19127644447</v>
          </cell>
          <cell r="IS25">
            <v>101295.19127644447</v>
          </cell>
          <cell r="IT25">
            <v>101295.19127644447</v>
          </cell>
          <cell r="IU25">
            <v>101295.19127644447</v>
          </cell>
          <cell r="IV25">
            <v>101295.19127644447</v>
          </cell>
          <cell r="IW25">
            <v>101295.19127644447</v>
          </cell>
          <cell r="IX25">
            <v>101295.19127644447</v>
          </cell>
          <cell r="IY25">
            <v>101295.19127644447</v>
          </cell>
          <cell r="IZ25">
            <v>101295.19127644447</v>
          </cell>
          <cell r="JA25">
            <v>101295.19127644447</v>
          </cell>
          <cell r="JB25">
            <v>101295.19127644447</v>
          </cell>
          <cell r="JC25">
            <v>101295.19127644447</v>
          </cell>
          <cell r="JD25">
            <v>101295.19127644447</v>
          </cell>
          <cell r="JE25">
            <v>101295.19127644447</v>
          </cell>
          <cell r="JF25">
            <v>101295.19127644447</v>
          </cell>
          <cell r="JG25">
            <v>101295.19127644447</v>
          </cell>
          <cell r="JH25">
            <v>101295.19127644447</v>
          </cell>
          <cell r="JI25">
            <v>101295.19127644447</v>
          </cell>
          <cell r="JJ25">
            <v>101295.19127644447</v>
          </cell>
          <cell r="JK25">
            <v>101295.19127644447</v>
          </cell>
          <cell r="JL25">
            <v>101295.19127644447</v>
          </cell>
          <cell r="JM25">
            <v>101295.19127644447</v>
          </cell>
          <cell r="JN25">
            <v>101295.19127644447</v>
          </cell>
          <cell r="JO25">
            <v>101295.19127644447</v>
          </cell>
          <cell r="JP25">
            <v>101295.19127644447</v>
          </cell>
          <cell r="JQ25">
            <v>101295.19127644447</v>
          </cell>
          <cell r="JR25">
            <v>101295.19127644447</v>
          </cell>
          <cell r="JS25">
            <v>101295.19127644447</v>
          </cell>
          <cell r="JT25">
            <v>101295.19127644447</v>
          </cell>
          <cell r="JU25">
            <v>101295.19127644447</v>
          </cell>
          <cell r="JV25">
            <v>101295.19127644447</v>
          </cell>
          <cell r="JW25">
            <v>101295.19127644447</v>
          </cell>
          <cell r="JX25">
            <v>101295.19127644447</v>
          </cell>
          <cell r="JY25">
            <v>101295.19127644447</v>
          </cell>
          <cell r="JZ25">
            <v>101295.19127644447</v>
          </cell>
          <cell r="KA25">
            <v>101295.19127644447</v>
          </cell>
          <cell r="KB25">
            <v>101295.19127644447</v>
          </cell>
          <cell r="KC25">
            <v>101295.19127644447</v>
          </cell>
          <cell r="KD25">
            <v>101295.19127644447</v>
          </cell>
          <cell r="KE25">
            <v>101295.19127644447</v>
          </cell>
          <cell r="KF25">
            <v>101295.19127644447</v>
          </cell>
          <cell r="KG25">
            <v>101295.19127644447</v>
          </cell>
          <cell r="KH25">
            <v>101295.19127644447</v>
          </cell>
          <cell r="KI25">
            <v>101295.19127644447</v>
          </cell>
          <cell r="KJ25">
            <v>101295.19127644447</v>
          </cell>
          <cell r="KK25">
            <v>101295.19127644447</v>
          </cell>
          <cell r="KL25">
            <v>101295.19127644447</v>
          </cell>
          <cell r="KM25">
            <v>101295.19127644447</v>
          </cell>
          <cell r="KN25">
            <v>101295.19127644447</v>
          </cell>
          <cell r="KO25">
            <v>101295.19127644447</v>
          </cell>
          <cell r="KP25">
            <v>101295.19127644447</v>
          </cell>
          <cell r="KQ25">
            <v>101295.19127644447</v>
          </cell>
          <cell r="KR25">
            <v>101295.19127644447</v>
          </cell>
          <cell r="KS25">
            <v>101295.19127644447</v>
          </cell>
          <cell r="KT25">
            <v>101295.19127644447</v>
          </cell>
          <cell r="KU25">
            <v>101295.19127644447</v>
          </cell>
          <cell r="KV25">
            <v>101295.19127644447</v>
          </cell>
          <cell r="KW25">
            <v>101295.19127644447</v>
          </cell>
          <cell r="KX25">
            <v>101295.19127644447</v>
          </cell>
          <cell r="KY25">
            <v>101295.19127644447</v>
          </cell>
          <cell r="KZ25">
            <v>101295.19127644447</v>
          </cell>
          <cell r="LA25">
            <v>101295.19127644447</v>
          </cell>
          <cell r="LB25">
            <v>101295.19127644447</v>
          </cell>
          <cell r="LC25">
            <v>101295.19127644447</v>
          </cell>
          <cell r="LD25">
            <v>101295.19127644447</v>
          </cell>
          <cell r="LE25">
            <v>101295.19127644447</v>
          </cell>
          <cell r="LF25">
            <v>101295.19127644447</v>
          </cell>
          <cell r="LG25">
            <v>101295.19127644447</v>
          </cell>
          <cell r="LH25">
            <v>101295.19127644447</v>
          </cell>
          <cell r="LI25">
            <v>101295.19127644447</v>
          </cell>
          <cell r="LJ25">
            <v>101295.19127644447</v>
          </cell>
          <cell r="LK25">
            <v>101295.19127644447</v>
          </cell>
          <cell r="LL25">
            <v>101295.19127644447</v>
          </cell>
          <cell r="LM25">
            <v>101295.19127644447</v>
          </cell>
          <cell r="LN25">
            <v>101295.19127644447</v>
          </cell>
          <cell r="LO25">
            <v>101295.19127644447</v>
          </cell>
          <cell r="LP25">
            <v>101295.19127644447</v>
          </cell>
          <cell r="LQ25">
            <v>101295.19127644447</v>
          </cell>
          <cell r="LR25">
            <v>101295.19127644447</v>
          </cell>
          <cell r="LS25">
            <v>101295.19127644447</v>
          </cell>
          <cell r="LT25">
            <v>101295.19127644447</v>
          </cell>
          <cell r="LU25">
            <v>101295.19127644447</v>
          </cell>
          <cell r="LV25">
            <v>101295.19127644447</v>
          </cell>
          <cell r="LW25">
            <v>101295.19127644447</v>
          </cell>
          <cell r="LX25">
            <v>101295.19127644447</v>
          </cell>
          <cell r="LY25">
            <v>101295.19127644447</v>
          </cell>
          <cell r="LZ25">
            <v>101295.19127644447</v>
          </cell>
          <cell r="MA25">
            <v>101295.19127644447</v>
          </cell>
          <cell r="MB25">
            <v>101295.19127644447</v>
          </cell>
          <cell r="MC25">
            <v>101295.19127644447</v>
          </cell>
          <cell r="MD25">
            <v>101295.19127644447</v>
          </cell>
          <cell r="ME25">
            <v>101295.19127644447</v>
          </cell>
          <cell r="MF25">
            <v>101295.19127644447</v>
          </cell>
          <cell r="MG25">
            <v>101295.19127644447</v>
          </cell>
          <cell r="MH25">
            <v>101295.19127644447</v>
          </cell>
          <cell r="MI25">
            <v>101295.19127644447</v>
          </cell>
          <cell r="MJ25">
            <v>101295.19127644447</v>
          </cell>
          <cell r="MK25">
            <v>101295.19127644447</v>
          </cell>
          <cell r="ML25">
            <v>101295.19127644447</v>
          </cell>
          <cell r="MM25">
            <v>101295.19127644447</v>
          </cell>
          <cell r="MN25">
            <v>101295.19127644447</v>
          </cell>
          <cell r="MO25">
            <v>101295.19127644447</v>
          </cell>
          <cell r="MP25">
            <v>101295.19127644447</v>
          </cell>
          <cell r="MQ25">
            <v>101295.19127644447</v>
          </cell>
          <cell r="MR25">
            <v>101295.19127644447</v>
          </cell>
          <cell r="MS25">
            <v>101295.19127644447</v>
          </cell>
          <cell r="MT25">
            <v>101295.19127644447</v>
          </cell>
          <cell r="MU25">
            <v>101295.19127644447</v>
          </cell>
          <cell r="MV25">
            <v>101295.19127644447</v>
          </cell>
          <cell r="MW25">
            <v>101295.19127644447</v>
          </cell>
          <cell r="MX25">
            <v>101295.19127644447</v>
          </cell>
          <cell r="MY25">
            <v>101295.19127644447</v>
          </cell>
          <cell r="MZ25">
            <v>101295.19127644447</v>
          </cell>
          <cell r="NA25">
            <v>101295.19127644447</v>
          </cell>
          <cell r="NB25">
            <v>101295.19127644447</v>
          </cell>
        </row>
        <row r="27">
          <cell r="C27" t="str">
            <v>OUTRAS DESPESAS</v>
          </cell>
          <cell r="D27" t="str">
            <v>Mensal</v>
          </cell>
          <cell r="E27">
            <v>46100.4930774272</v>
          </cell>
          <cell r="F27">
            <v>16596177.507873792</v>
          </cell>
          <cell r="G27">
            <v>43921.751827014239</v>
          </cell>
          <cell r="H27">
            <v>43921.751827014239</v>
          </cell>
          <cell r="I27">
            <v>43921.751827014239</v>
          </cell>
          <cell r="J27">
            <v>43921.751827014239</v>
          </cell>
          <cell r="K27">
            <v>43921.751827014239</v>
          </cell>
          <cell r="L27">
            <v>43921.751827014239</v>
          </cell>
          <cell r="M27">
            <v>43921.751827014239</v>
          </cell>
          <cell r="N27">
            <v>43921.751827014239</v>
          </cell>
          <cell r="O27">
            <v>43921.751827014239</v>
          </cell>
          <cell r="P27">
            <v>43921.751827014239</v>
          </cell>
          <cell r="Q27">
            <v>43921.751827014239</v>
          </cell>
          <cell r="R27">
            <v>43921.751827014239</v>
          </cell>
          <cell r="S27">
            <v>44430.634025049076</v>
          </cell>
          <cell r="T27">
            <v>44430.634025049076</v>
          </cell>
          <cell r="U27">
            <v>44430.634025049076</v>
          </cell>
          <cell r="V27">
            <v>44430.634025049076</v>
          </cell>
          <cell r="W27">
            <v>44430.634025049076</v>
          </cell>
          <cell r="X27">
            <v>44430.634025049076</v>
          </cell>
          <cell r="Y27">
            <v>44430.634025049076</v>
          </cell>
          <cell r="Z27">
            <v>44430.634025049076</v>
          </cell>
          <cell r="AA27">
            <v>44430.634025049076</v>
          </cell>
          <cell r="AB27">
            <v>44430.634025049076</v>
          </cell>
          <cell r="AC27">
            <v>44430.634025049076</v>
          </cell>
          <cell r="AD27">
            <v>44430.634025049076</v>
          </cell>
          <cell r="AE27">
            <v>44612.504717502445</v>
          </cell>
          <cell r="AF27">
            <v>44612.504717502445</v>
          </cell>
          <cell r="AG27">
            <v>44612.504717502445</v>
          </cell>
          <cell r="AH27">
            <v>44612.504717502445</v>
          </cell>
          <cell r="AI27">
            <v>44612.504717502445</v>
          </cell>
          <cell r="AJ27">
            <v>44612.504717502445</v>
          </cell>
          <cell r="AK27">
            <v>44612.504717502445</v>
          </cell>
          <cell r="AL27">
            <v>44612.504717502445</v>
          </cell>
          <cell r="AM27">
            <v>44612.504717502445</v>
          </cell>
          <cell r="AN27">
            <v>44612.504717502445</v>
          </cell>
          <cell r="AO27">
            <v>44612.504717502445</v>
          </cell>
          <cell r="AP27">
            <v>44612.504717502445</v>
          </cell>
          <cell r="AQ27">
            <v>44979.111494922901</v>
          </cell>
          <cell r="AR27">
            <v>44979.111494922901</v>
          </cell>
          <cell r="AS27">
            <v>44979.111494922901</v>
          </cell>
          <cell r="AT27">
            <v>44979.111494922901</v>
          </cell>
          <cell r="AU27">
            <v>44979.111494922901</v>
          </cell>
          <cell r="AV27">
            <v>44979.111494922901</v>
          </cell>
          <cell r="AW27">
            <v>44979.111494922901</v>
          </cell>
          <cell r="AX27">
            <v>44979.111494922901</v>
          </cell>
          <cell r="AY27">
            <v>44979.111494922901</v>
          </cell>
          <cell r="AZ27">
            <v>44979.111494922901</v>
          </cell>
          <cell r="BA27">
            <v>44979.111494922901</v>
          </cell>
          <cell r="BB27">
            <v>44979.111494922901</v>
          </cell>
          <cell r="BC27">
            <v>45139.499269137887</v>
          </cell>
          <cell r="BD27">
            <v>45139.499269137887</v>
          </cell>
          <cell r="BE27">
            <v>45139.499269137887</v>
          </cell>
          <cell r="BF27">
            <v>45139.499269137887</v>
          </cell>
          <cell r="BG27">
            <v>45139.499269137887</v>
          </cell>
          <cell r="BH27">
            <v>45139.499269137887</v>
          </cell>
          <cell r="BI27">
            <v>45139.499269137887</v>
          </cell>
          <cell r="BJ27">
            <v>45139.499269137887</v>
          </cell>
          <cell r="BK27">
            <v>45139.499269137887</v>
          </cell>
          <cell r="BL27">
            <v>45139.499269137887</v>
          </cell>
          <cell r="BM27">
            <v>45139.499269137887</v>
          </cell>
          <cell r="BN27">
            <v>45139.499269137887</v>
          </cell>
          <cell r="BO27">
            <v>45284.566786068979</v>
          </cell>
          <cell r="BP27">
            <v>45284.566786068979</v>
          </cell>
          <cell r="BQ27">
            <v>45284.566786068979</v>
          </cell>
          <cell r="BR27">
            <v>45284.566786068979</v>
          </cell>
          <cell r="BS27">
            <v>45284.566786068979</v>
          </cell>
          <cell r="BT27">
            <v>45284.566786068979</v>
          </cell>
          <cell r="BU27">
            <v>45284.566786068979</v>
          </cell>
          <cell r="BV27">
            <v>45284.566786068979</v>
          </cell>
          <cell r="BW27">
            <v>45284.566786068979</v>
          </cell>
          <cell r="BX27">
            <v>45284.566786068979</v>
          </cell>
          <cell r="BY27">
            <v>45284.566786068979</v>
          </cell>
          <cell r="BZ27">
            <v>45284.566786068979</v>
          </cell>
          <cell r="CA27">
            <v>45424.876133084916</v>
          </cell>
          <cell r="CB27">
            <v>45424.876133084916</v>
          </cell>
          <cell r="CC27">
            <v>45424.876133084916</v>
          </cell>
          <cell r="CD27">
            <v>45424.876133084916</v>
          </cell>
          <cell r="CE27">
            <v>45424.876133084916</v>
          </cell>
          <cell r="CF27">
            <v>45424.876133084916</v>
          </cell>
          <cell r="CG27">
            <v>45424.876133084916</v>
          </cell>
          <cell r="CH27">
            <v>45424.876133084916</v>
          </cell>
          <cell r="CI27">
            <v>45424.876133084916</v>
          </cell>
          <cell r="CJ27">
            <v>45424.876133084916</v>
          </cell>
          <cell r="CK27">
            <v>45424.876133084916</v>
          </cell>
          <cell r="CL27">
            <v>45424.876133084916</v>
          </cell>
          <cell r="CM27">
            <v>45552.367016245342</v>
          </cell>
          <cell r="CN27">
            <v>45552.367016245342</v>
          </cell>
          <cell r="CO27">
            <v>45552.367016245342</v>
          </cell>
          <cell r="CP27">
            <v>45552.367016245342</v>
          </cell>
          <cell r="CQ27">
            <v>45552.367016245342</v>
          </cell>
          <cell r="CR27">
            <v>45552.367016245342</v>
          </cell>
          <cell r="CS27">
            <v>45552.367016245342</v>
          </cell>
          <cell r="CT27">
            <v>45552.367016245342</v>
          </cell>
          <cell r="CU27">
            <v>45552.367016245342</v>
          </cell>
          <cell r="CV27">
            <v>45552.367016245342</v>
          </cell>
          <cell r="CW27">
            <v>45552.367016245342</v>
          </cell>
          <cell r="CX27">
            <v>45552.367016245342</v>
          </cell>
          <cell r="CY27">
            <v>45670.449433370341</v>
          </cell>
          <cell r="CZ27">
            <v>45670.449433370341</v>
          </cell>
          <cell r="DA27">
            <v>45670.449433370341</v>
          </cell>
          <cell r="DB27">
            <v>45670.449433370341</v>
          </cell>
          <cell r="DC27">
            <v>45670.449433370341</v>
          </cell>
          <cell r="DD27">
            <v>45670.449433370341</v>
          </cell>
          <cell r="DE27">
            <v>45670.449433370341</v>
          </cell>
          <cell r="DF27">
            <v>45670.449433370341</v>
          </cell>
          <cell r="DG27">
            <v>45670.449433370341</v>
          </cell>
          <cell r="DH27">
            <v>45670.449433370341</v>
          </cell>
          <cell r="DI27">
            <v>45670.449433370341</v>
          </cell>
          <cell r="DJ27">
            <v>45670.449433370341</v>
          </cell>
          <cell r="DK27">
            <v>45759.832563979202</v>
          </cell>
          <cell r="DL27">
            <v>45759.832563979202</v>
          </cell>
          <cell r="DM27">
            <v>45759.832563979202</v>
          </cell>
          <cell r="DN27">
            <v>45759.832563979202</v>
          </cell>
          <cell r="DO27">
            <v>45759.832563979202</v>
          </cell>
          <cell r="DP27">
            <v>45759.832563979202</v>
          </cell>
          <cell r="DQ27">
            <v>45759.832563979202</v>
          </cell>
          <cell r="DR27">
            <v>45759.832563979202</v>
          </cell>
          <cell r="DS27">
            <v>45759.832563979202</v>
          </cell>
          <cell r="DT27">
            <v>45759.832563979202</v>
          </cell>
          <cell r="DU27">
            <v>45759.832563979202</v>
          </cell>
          <cell r="DV27">
            <v>45759.832563979202</v>
          </cell>
          <cell r="DW27">
            <v>45906.655262534019</v>
          </cell>
          <cell r="DX27">
            <v>45906.655262534019</v>
          </cell>
          <cell r="DY27">
            <v>45906.655262534019</v>
          </cell>
          <cell r="DZ27">
            <v>45906.655262534019</v>
          </cell>
          <cell r="EA27">
            <v>45906.655262534019</v>
          </cell>
          <cell r="EB27">
            <v>45906.655262534019</v>
          </cell>
          <cell r="EC27">
            <v>45906.655262534019</v>
          </cell>
          <cell r="ED27">
            <v>45906.655262534019</v>
          </cell>
          <cell r="EE27">
            <v>45906.655262534019</v>
          </cell>
          <cell r="EF27">
            <v>45906.655262534019</v>
          </cell>
          <cell r="EG27">
            <v>45906.655262534019</v>
          </cell>
          <cell r="EH27">
            <v>45906.655262534019</v>
          </cell>
          <cell r="EI27">
            <v>46041.44688800726</v>
          </cell>
          <cell r="EJ27">
            <v>46041.44688800726</v>
          </cell>
          <cell r="EK27">
            <v>46041.44688800726</v>
          </cell>
          <cell r="EL27">
            <v>46041.44688800726</v>
          </cell>
          <cell r="EM27">
            <v>46041.44688800726</v>
          </cell>
          <cell r="EN27">
            <v>46041.44688800726</v>
          </cell>
          <cell r="EO27">
            <v>46041.44688800726</v>
          </cell>
          <cell r="EP27">
            <v>46041.44688800726</v>
          </cell>
          <cell r="EQ27">
            <v>46041.44688800726</v>
          </cell>
          <cell r="ER27">
            <v>46041.44688800726</v>
          </cell>
          <cell r="ES27">
            <v>46041.44688800726</v>
          </cell>
          <cell r="ET27">
            <v>46041.44688800726</v>
          </cell>
          <cell r="EU27">
            <v>46164.831841064828</v>
          </cell>
          <cell r="EV27">
            <v>46164.831841064828</v>
          </cell>
          <cell r="EW27">
            <v>46164.831841064828</v>
          </cell>
          <cell r="EX27">
            <v>46164.831841064828</v>
          </cell>
          <cell r="EY27">
            <v>46164.831841064828</v>
          </cell>
          <cell r="EZ27">
            <v>46164.831841064828</v>
          </cell>
          <cell r="FA27">
            <v>46164.831841064828</v>
          </cell>
          <cell r="FB27">
            <v>46164.831841064828</v>
          </cell>
          <cell r="FC27">
            <v>46164.831841064828</v>
          </cell>
          <cell r="FD27">
            <v>46164.831841064828</v>
          </cell>
          <cell r="FE27">
            <v>46164.831841064828</v>
          </cell>
          <cell r="FF27">
            <v>46164.831841064828</v>
          </cell>
          <cell r="FG27">
            <v>46279.093995972864</v>
          </cell>
          <cell r="FH27">
            <v>46279.093995972864</v>
          </cell>
          <cell r="FI27">
            <v>46279.093995972864</v>
          </cell>
          <cell r="FJ27">
            <v>46279.093995972864</v>
          </cell>
          <cell r="FK27">
            <v>46279.093995972864</v>
          </cell>
          <cell r="FL27">
            <v>46279.093995972864</v>
          </cell>
          <cell r="FM27">
            <v>46279.093995972864</v>
          </cell>
          <cell r="FN27">
            <v>46279.093995972864</v>
          </cell>
          <cell r="FO27">
            <v>46279.093995972864</v>
          </cell>
          <cell r="FP27">
            <v>46279.093995972864</v>
          </cell>
          <cell r="FQ27">
            <v>46279.093995972864</v>
          </cell>
          <cell r="FR27">
            <v>46279.093995972864</v>
          </cell>
          <cell r="FS27">
            <v>46383.869289523129</v>
          </cell>
          <cell r="FT27">
            <v>46383.869289523129</v>
          </cell>
          <cell r="FU27">
            <v>46383.869289523129</v>
          </cell>
          <cell r="FV27">
            <v>46383.869289523129</v>
          </cell>
          <cell r="FW27">
            <v>46383.869289523129</v>
          </cell>
          <cell r="FX27">
            <v>46383.869289523129</v>
          </cell>
          <cell r="FY27">
            <v>46383.869289523129</v>
          </cell>
          <cell r="FZ27">
            <v>46383.869289523129</v>
          </cell>
          <cell r="GA27">
            <v>46383.869289523129</v>
          </cell>
          <cell r="GB27">
            <v>46383.869289523129</v>
          </cell>
          <cell r="GC27">
            <v>46383.869289523129</v>
          </cell>
          <cell r="GD27">
            <v>46383.869289523129</v>
          </cell>
          <cell r="GE27">
            <v>46477.097636845072</v>
          </cell>
          <cell r="GF27">
            <v>46477.097636845072</v>
          </cell>
          <cell r="GG27">
            <v>46477.097636845072</v>
          </cell>
          <cell r="GH27">
            <v>46477.097636845072</v>
          </cell>
          <cell r="GI27">
            <v>46477.097636845072</v>
          </cell>
          <cell r="GJ27">
            <v>46477.097636845072</v>
          </cell>
          <cell r="GK27">
            <v>46477.097636845072</v>
          </cell>
          <cell r="GL27">
            <v>46477.097636845072</v>
          </cell>
          <cell r="GM27">
            <v>46477.097636845072</v>
          </cell>
          <cell r="GN27">
            <v>46477.097636845072</v>
          </cell>
          <cell r="GO27">
            <v>46477.097636845072</v>
          </cell>
          <cell r="GP27">
            <v>46477.097636845072</v>
          </cell>
          <cell r="GQ27">
            <v>46558.638331227405</v>
          </cell>
          <cell r="GR27">
            <v>46558.638331227405</v>
          </cell>
          <cell r="GS27">
            <v>46558.638331227405</v>
          </cell>
          <cell r="GT27">
            <v>46558.638331227405</v>
          </cell>
          <cell r="GU27">
            <v>46558.638331227405</v>
          </cell>
          <cell r="GV27">
            <v>46558.638331227405</v>
          </cell>
          <cell r="GW27">
            <v>46558.638331227405</v>
          </cell>
          <cell r="GX27">
            <v>46558.638331227405</v>
          </cell>
          <cell r="GY27">
            <v>46558.638331227405</v>
          </cell>
          <cell r="GZ27">
            <v>46558.638331227405</v>
          </cell>
          <cell r="HA27">
            <v>46558.638331227405</v>
          </cell>
          <cell r="HB27">
            <v>46558.638331227405</v>
          </cell>
          <cell r="HC27">
            <v>46632.442137861733</v>
          </cell>
          <cell r="HD27">
            <v>46632.442137861733</v>
          </cell>
          <cell r="HE27">
            <v>46632.442137861733</v>
          </cell>
          <cell r="HF27">
            <v>46632.442137861733</v>
          </cell>
          <cell r="HG27">
            <v>46632.442137861733</v>
          </cell>
          <cell r="HH27">
            <v>46632.442137861733</v>
          </cell>
          <cell r="HI27">
            <v>46632.442137861733</v>
          </cell>
          <cell r="HJ27">
            <v>46632.442137861733</v>
          </cell>
          <cell r="HK27">
            <v>46632.442137861733</v>
          </cell>
          <cell r="HL27">
            <v>46632.442137861733</v>
          </cell>
          <cell r="HM27">
            <v>46632.442137861733</v>
          </cell>
          <cell r="HN27">
            <v>46632.442137861733</v>
          </cell>
          <cell r="HO27">
            <v>46693.419516823189</v>
          </cell>
          <cell r="HP27">
            <v>46693.419516823189</v>
          </cell>
          <cell r="HQ27">
            <v>46693.419516823189</v>
          </cell>
          <cell r="HR27">
            <v>46693.419516823189</v>
          </cell>
          <cell r="HS27">
            <v>46693.419516823189</v>
          </cell>
          <cell r="HT27">
            <v>46693.419516823189</v>
          </cell>
          <cell r="HU27">
            <v>46693.419516823189</v>
          </cell>
          <cell r="HV27">
            <v>46693.419516823189</v>
          </cell>
          <cell r="HW27">
            <v>46693.419516823189</v>
          </cell>
          <cell r="HX27">
            <v>46693.419516823189</v>
          </cell>
          <cell r="HY27">
            <v>46693.419516823189</v>
          </cell>
          <cell r="HZ27">
            <v>46693.419516823189</v>
          </cell>
          <cell r="IA27">
            <v>46748.450740552777</v>
          </cell>
          <cell r="IB27">
            <v>46748.450740552777</v>
          </cell>
          <cell r="IC27">
            <v>46748.450740552777</v>
          </cell>
          <cell r="ID27">
            <v>46748.450740552777</v>
          </cell>
          <cell r="IE27">
            <v>46748.450740552777</v>
          </cell>
          <cell r="IF27">
            <v>46748.450740552777</v>
          </cell>
          <cell r="IG27">
            <v>46748.450740552777</v>
          </cell>
          <cell r="IH27">
            <v>46748.450740552777</v>
          </cell>
          <cell r="II27">
            <v>46748.450740552777</v>
          </cell>
          <cell r="IJ27">
            <v>46748.450740552777</v>
          </cell>
          <cell r="IK27">
            <v>46748.450740552777</v>
          </cell>
          <cell r="IL27">
            <v>46748.450740552777</v>
          </cell>
          <cell r="IM27">
            <v>46792.51079141115</v>
          </cell>
          <cell r="IN27">
            <v>46792.51079141115</v>
          </cell>
          <cell r="IO27">
            <v>46792.51079141115</v>
          </cell>
          <cell r="IP27">
            <v>46792.51079141115</v>
          </cell>
          <cell r="IQ27">
            <v>46792.51079141115</v>
          </cell>
          <cell r="IR27">
            <v>46792.51079141115</v>
          </cell>
          <cell r="IS27">
            <v>46792.51079141115</v>
          </cell>
          <cell r="IT27">
            <v>46792.51079141115</v>
          </cell>
          <cell r="IU27">
            <v>46792.51079141115</v>
          </cell>
          <cell r="IV27">
            <v>46792.51079141115</v>
          </cell>
          <cell r="IW27">
            <v>46792.51079141115</v>
          </cell>
          <cell r="IX27">
            <v>46792.51079141115</v>
          </cell>
          <cell r="IY27">
            <v>46827.319722932945</v>
          </cell>
          <cell r="IZ27">
            <v>46827.319722932945</v>
          </cell>
          <cell r="JA27">
            <v>46827.319722932945</v>
          </cell>
          <cell r="JB27">
            <v>46827.319722932945</v>
          </cell>
          <cell r="JC27">
            <v>46827.319722932945</v>
          </cell>
          <cell r="JD27">
            <v>46827.319722932945</v>
          </cell>
          <cell r="JE27">
            <v>46827.319722932945</v>
          </cell>
          <cell r="JF27">
            <v>46827.319722932945</v>
          </cell>
          <cell r="JG27">
            <v>46827.319722932945</v>
          </cell>
          <cell r="JH27">
            <v>46827.319722932945</v>
          </cell>
          <cell r="JI27">
            <v>46827.319722932945</v>
          </cell>
          <cell r="JJ27">
            <v>46827.319722932945</v>
          </cell>
          <cell r="JK27">
            <v>46851.20006859288</v>
          </cell>
          <cell r="JL27">
            <v>46851.20006859288</v>
          </cell>
          <cell r="JM27">
            <v>46851.20006859288</v>
          </cell>
          <cell r="JN27">
            <v>46851.20006859288</v>
          </cell>
          <cell r="JO27">
            <v>46851.20006859288</v>
          </cell>
          <cell r="JP27">
            <v>46851.20006859288</v>
          </cell>
          <cell r="JQ27">
            <v>46851.20006859288</v>
          </cell>
          <cell r="JR27">
            <v>46851.20006859288</v>
          </cell>
          <cell r="JS27">
            <v>46851.20006859288</v>
          </cell>
          <cell r="JT27">
            <v>46851.20006859288</v>
          </cell>
          <cell r="JU27">
            <v>46851.20006859288</v>
          </cell>
          <cell r="JV27">
            <v>46851.20006859288</v>
          </cell>
          <cell r="JW27">
            <v>46866.445432802946</v>
          </cell>
          <cell r="JX27">
            <v>46866.445432802946</v>
          </cell>
          <cell r="JY27">
            <v>46866.445432802946</v>
          </cell>
          <cell r="JZ27">
            <v>46866.445432802946</v>
          </cell>
          <cell r="KA27">
            <v>46866.445432802946</v>
          </cell>
          <cell r="KB27">
            <v>46866.445432802946</v>
          </cell>
          <cell r="KC27">
            <v>46866.445432802946</v>
          </cell>
          <cell r="KD27">
            <v>46866.445432802946</v>
          </cell>
          <cell r="KE27">
            <v>46866.445432802946</v>
          </cell>
          <cell r="KF27">
            <v>46866.445432802946</v>
          </cell>
          <cell r="KG27">
            <v>46866.445432802946</v>
          </cell>
          <cell r="KH27">
            <v>46866.445432802946</v>
          </cell>
          <cell r="KI27">
            <v>46872.48717154804</v>
          </cell>
          <cell r="KJ27">
            <v>46872.48717154804</v>
          </cell>
          <cell r="KK27">
            <v>46872.48717154804</v>
          </cell>
          <cell r="KL27">
            <v>46872.48717154804</v>
          </cell>
          <cell r="KM27">
            <v>46872.48717154804</v>
          </cell>
          <cell r="KN27">
            <v>46872.48717154804</v>
          </cell>
          <cell r="KO27">
            <v>46872.48717154804</v>
          </cell>
          <cell r="KP27">
            <v>46872.48717154804</v>
          </cell>
          <cell r="KQ27">
            <v>46872.48717154804</v>
          </cell>
          <cell r="KR27">
            <v>46872.48717154804</v>
          </cell>
          <cell r="KS27">
            <v>46872.48717154804</v>
          </cell>
          <cell r="KT27">
            <v>46872.48717154804</v>
          </cell>
          <cell r="KU27">
            <v>46882.803392442474</v>
          </cell>
          <cell r="KV27">
            <v>46882.803392442474</v>
          </cell>
          <cell r="KW27">
            <v>46882.803392442474</v>
          </cell>
          <cell r="KX27">
            <v>46882.803392442474</v>
          </cell>
          <cell r="KY27">
            <v>46882.803392442474</v>
          </cell>
          <cell r="KZ27">
            <v>46882.803392442474</v>
          </cell>
          <cell r="LA27">
            <v>46882.803392442474</v>
          </cell>
          <cell r="LB27">
            <v>46882.803392442474</v>
          </cell>
          <cell r="LC27">
            <v>46882.803392442474</v>
          </cell>
          <cell r="LD27">
            <v>46882.803392442474</v>
          </cell>
          <cell r="LE27">
            <v>46882.803392442474</v>
          </cell>
          <cell r="LF27">
            <v>46882.803392442474</v>
          </cell>
          <cell r="LG27">
            <v>46857.355286914135</v>
          </cell>
          <cell r="LH27">
            <v>46857.355286914135</v>
          </cell>
          <cell r="LI27">
            <v>46857.355286914135</v>
          </cell>
          <cell r="LJ27">
            <v>46857.355286914135</v>
          </cell>
          <cell r="LK27">
            <v>46857.355286914135</v>
          </cell>
          <cell r="LL27">
            <v>46857.355286914135</v>
          </cell>
          <cell r="LM27">
            <v>46857.355286914135</v>
          </cell>
          <cell r="LN27">
            <v>46857.355286914135</v>
          </cell>
          <cell r="LO27">
            <v>46857.355286914135</v>
          </cell>
          <cell r="LP27">
            <v>46857.355286914135</v>
          </cell>
          <cell r="LQ27">
            <v>46857.355286914135</v>
          </cell>
          <cell r="LR27">
            <v>46857.355286914135</v>
          </cell>
          <cell r="LS27">
            <v>46836.18750999547</v>
          </cell>
          <cell r="LT27">
            <v>46836.18750999547</v>
          </cell>
          <cell r="LU27">
            <v>46836.18750999547</v>
          </cell>
          <cell r="LV27">
            <v>46836.18750999547</v>
          </cell>
          <cell r="LW27">
            <v>46836.18750999547</v>
          </cell>
          <cell r="LX27">
            <v>46836.18750999547</v>
          </cell>
          <cell r="LY27">
            <v>46836.18750999547</v>
          </cell>
          <cell r="LZ27">
            <v>46836.18750999547</v>
          </cell>
          <cell r="MA27">
            <v>46836.18750999547</v>
          </cell>
          <cell r="MB27">
            <v>46836.18750999547</v>
          </cell>
          <cell r="MC27">
            <v>46836.18750999547</v>
          </cell>
          <cell r="MD27">
            <v>46836.18750999547</v>
          </cell>
          <cell r="ME27">
            <v>46803.253783191554</v>
          </cell>
          <cell r="MF27">
            <v>46803.253783191554</v>
          </cell>
          <cell r="MG27">
            <v>46803.253783191554</v>
          </cell>
          <cell r="MH27">
            <v>46803.253783191554</v>
          </cell>
          <cell r="MI27">
            <v>46803.253783191554</v>
          </cell>
          <cell r="MJ27">
            <v>46803.253783191554</v>
          </cell>
          <cell r="MK27">
            <v>46803.253783191554</v>
          </cell>
          <cell r="ML27">
            <v>46803.253783191554</v>
          </cell>
          <cell r="MM27">
            <v>46803.253783191554</v>
          </cell>
          <cell r="MN27">
            <v>46803.253783191554</v>
          </cell>
          <cell r="MO27">
            <v>46803.253783191554</v>
          </cell>
          <cell r="MP27">
            <v>46803.253783191554</v>
          </cell>
          <cell r="MQ27">
            <v>46763.690256197908</v>
          </cell>
          <cell r="MR27">
            <v>46763.690256197908</v>
          </cell>
          <cell r="MS27">
            <v>46763.690256197908</v>
          </cell>
          <cell r="MT27">
            <v>46763.690256197908</v>
          </cell>
          <cell r="MU27">
            <v>46763.690256197908</v>
          </cell>
          <cell r="MV27">
            <v>46763.690256197908</v>
          </cell>
          <cell r="MW27">
            <v>46763.690256197908</v>
          </cell>
          <cell r="MX27">
            <v>46763.690256197908</v>
          </cell>
          <cell r="MY27">
            <v>46763.690256197908</v>
          </cell>
          <cell r="MZ27">
            <v>46763.690256197908</v>
          </cell>
          <cell r="NA27">
            <v>46763.690256197908</v>
          </cell>
          <cell r="NB27">
            <v>46763.690256197908</v>
          </cell>
        </row>
        <row r="29">
          <cell r="C29" t="str">
            <v>SEGUROS E GARANTIAS</v>
          </cell>
          <cell r="D29" t="str">
            <v>Mensal</v>
          </cell>
          <cell r="E29">
            <v>6036.299951758775</v>
          </cell>
          <cell r="F29">
            <v>2173067.982633159</v>
          </cell>
          <cell r="G29">
            <v>10339.920011679142</v>
          </cell>
          <cell r="H29">
            <v>10339.920011679142</v>
          </cell>
          <cell r="I29">
            <v>10339.920011679142</v>
          </cell>
          <cell r="J29">
            <v>10339.920011679142</v>
          </cell>
          <cell r="K29">
            <v>10339.920011679142</v>
          </cell>
          <cell r="L29">
            <v>10339.920011679142</v>
          </cell>
          <cell r="M29">
            <v>10339.920011679142</v>
          </cell>
          <cell r="N29">
            <v>10339.920011679142</v>
          </cell>
          <cell r="O29">
            <v>10339.920011679142</v>
          </cell>
          <cell r="P29">
            <v>10339.920011679142</v>
          </cell>
          <cell r="Q29">
            <v>10339.920011679142</v>
          </cell>
          <cell r="R29">
            <v>10339.920011679142</v>
          </cell>
          <cell r="S29">
            <v>9437.2166809738428</v>
          </cell>
          <cell r="T29">
            <v>9437.2166809738428</v>
          </cell>
          <cell r="U29">
            <v>9437.2166809738428</v>
          </cell>
          <cell r="V29">
            <v>9437.2166809738428</v>
          </cell>
          <cell r="W29">
            <v>9437.2166809738428</v>
          </cell>
          <cell r="X29">
            <v>9437.2166809738428</v>
          </cell>
          <cell r="Y29">
            <v>9437.2166809738428</v>
          </cell>
          <cell r="Z29">
            <v>9437.2166809738428</v>
          </cell>
          <cell r="AA29">
            <v>9437.2166809738428</v>
          </cell>
          <cell r="AB29">
            <v>9437.2166809738428</v>
          </cell>
          <cell r="AC29">
            <v>9437.2166809738428</v>
          </cell>
          <cell r="AD29">
            <v>9437.2166809738428</v>
          </cell>
          <cell r="AE29">
            <v>9090.6177222652586</v>
          </cell>
          <cell r="AF29">
            <v>9090.6177222652586</v>
          </cell>
          <cell r="AG29">
            <v>9090.6177222652586</v>
          </cell>
          <cell r="AH29">
            <v>9090.6177222652586</v>
          </cell>
          <cell r="AI29">
            <v>9090.6177222652586</v>
          </cell>
          <cell r="AJ29">
            <v>9090.6177222652586</v>
          </cell>
          <cell r="AK29">
            <v>9090.6177222652586</v>
          </cell>
          <cell r="AL29">
            <v>9090.6177222652586</v>
          </cell>
          <cell r="AM29">
            <v>9090.6177222652586</v>
          </cell>
          <cell r="AN29">
            <v>9090.6177222652586</v>
          </cell>
          <cell r="AO29">
            <v>9090.6177222652586</v>
          </cell>
          <cell r="AP29">
            <v>9090.6177222652586</v>
          </cell>
          <cell r="AQ29">
            <v>8880.6951766937618</v>
          </cell>
          <cell r="AR29">
            <v>8880.6951766937618</v>
          </cell>
          <cell r="AS29">
            <v>8880.6951766937618</v>
          </cell>
          <cell r="AT29">
            <v>8880.6951766937618</v>
          </cell>
          <cell r="AU29">
            <v>8880.6951766937618</v>
          </cell>
          <cell r="AV29">
            <v>8880.6951766937618</v>
          </cell>
          <cell r="AW29">
            <v>8880.6951766937618</v>
          </cell>
          <cell r="AX29">
            <v>8880.6951766937618</v>
          </cell>
          <cell r="AY29">
            <v>8880.6951766937618</v>
          </cell>
          <cell r="AZ29">
            <v>8880.6951766937618</v>
          </cell>
          <cell r="BA29">
            <v>8880.6951766937618</v>
          </cell>
          <cell r="BB29">
            <v>8880.6951766937618</v>
          </cell>
          <cell r="BC29">
            <v>8771.498244139997</v>
          </cell>
          <cell r="BD29">
            <v>8771.498244139997</v>
          </cell>
          <cell r="BE29">
            <v>8771.498244139997</v>
          </cell>
          <cell r="BF29">
            <v>8771.498244139997</v>
          </cell>
          <cell r="BG29">
            <v>8771.498244139997</v>
          </cell>
          <cell r="BH29">
            <v>8771.498244139997</v>
          </cell>
          <cell r="BI29">
            <v>8771.498244139997</v>
          </cell>
          <cell r="BJ29">
            <v>8771.498244139997</v>
          </cell>
          <cell r="BK29">
            <v>8771.498244139997</v>
          </cell>
          <cell r="BL29">
            <v>8771.498244139997</v>
          </cell>
          <cell r="BM29">
            <v>8771.498244139997</v>
          </cell>
          <cell r="BN29">
            <v>8771.498244139997</v>
          </cell>
          <cell r="BO29">
            <v>8246.3715706654311</v>
          </cell>
          <cell r="BP29">
            <v>8246.3715706654311</v>
          </cell>
          <cell r="BQ29">
            <v>8246.3715706654311</v>
          </cell>
          <cell r="BR29">
            <v>8246.3715706654311</v>
          </cell>
          <cell r="BS29">
            <v>8246.3715706654311</v>
          </cell>
          <cell r="BT29">
            <v>8246.3715706654311</v>
          </cell>
          <cell r="BU29">
            <v>8246.3715706654311</v>
          </cell>
          <cell r="BV29">
            <v>8246.3715706654311</v>
          </cell>
          <cell r="BW29">
            <v>8246.3715706654311</v>
          </cell>
          <cell r="BX29">
            <v>8246.3715706654311</v>
          </cell>
          <cell r="BY29">
            <v>8246.3715706654311</v>
          </cell>
          <cell r="BZ29">
            <v>8246.3715706654311</v>
          </cell>
          <cell r="CA29">
            <v>8007.6847737376993</v>
          </cell>
          <cell r="CB29">
            <v>8007.6847737376993</v>
          </cell>
          <cell r="CC29">
            <v>8007.6847737376993</v>
          </cell>
          <cell r="CD29">
            <v>8007.6847737376993</v>
          </cell>
          <cell r="CE29">
            <v>8007.6847737376993</v>
          </cell>
          <cell r="CF29">
            <v>8007.6847737376993</v>
          </cell>
          <cell r="CG29">
            <v>8007.6847737376993</v>
          </cell>
          <cell r="CH29">
            <v>8007.6847737376993</v>
          </cell>
          <cell r="CI29">
            <v>8007.6847737376993</v>
          </cell>
          <cell r="CJ29">
            <v>8007.6847737376993</v>
          </cell>
          <cell r="CK29">
            <v>8007.6847737376993</v>
          </cell>
          <cell r="CL29">
            <v>8007.6847737376993</v>
          </cell>
          <cell r="CM29">
            <v>7774.3762817523448</v>
          </cell>
          <cell r="CN29">
            <v>7774.3762817523448</v>
          </cell>
          <cell r="CO29">
            <v>7774.3762817523448</v>
          </cell>
          <cell r="CP29">
            <v>7774.3762817523448</v>
          </cell>
          <cell r="CQ29">
            <v>7774.3762817523448</v>
          </cell>
          <cell r="CR29">
            <v>7774.3762817523448</v>
          </cell>
          <cell r="CS29">
            <v>7774.3762817523448</v>
          </cell>
          <cell r="CT29">
            <v>7774.3762817523448</v>
          </cell>
          <cell r="CU29">
            <v>7774.3762817523448</v>
          </cell>
          <cell r="CV29">
            <v>7774.3762817523448</v>
          </cell>
          <cell r="CW29">
            <v>7774.3762817523448</v>
          </cell>
          <cell r="CX29">
            <v>7774.3762817523448</v>
          </cell>
          <cell r="CY29">
            <v>7574.3616953132778</v>
          </cell>
          <cell r="CZ29">
            <v>7574.3616953132778</v>
          </cell>
          <cell r="DA29">
            <v>7574.3616953132778</v>
          </cell>
          <cell r="DB29">
            <v>7574.3616953132778</v>
          </cell>
          <cell r="DC29">
            <v>7574.3616953132778</v>
          </cell>
          <cell r="DD29">
            <v>7574.3616953132778</v>
          </cell>
          <cell r="DE29">
            <v>7574.3616953132778</v>
          </cell>
          <cell r="DF29">
            <v>7574.3616953132778</v>
          </cell>
          <cell r="DG29">
            <v>7574.3616953132778</v>
          </cell>
          <cell r="DH29">
            <v>7574.3616953132778</v>
          </cell>
          <cell r="DI29">
            <v>7574.3616953132778</v>
          </cell>
          <cell r="DJ29">
            <v>7574.3616953132778</v>
          </cell>
          <cell r="DK29">
            <v>7578.7545871842603</v>
          </cell>
          <cell r="DL29">
            <v>7578.7545871842603</v>
          </cell>
          <cell r="DM29">
            <v>7578.7545871842603</v>
          </cell>
          <cell r="DN29">
            <v>7578.7545871842603</v>
          </cell>
          <cell r="DO29">
            <v>7578.7545871842603</v>
          </cell>
          <cell r="DP29">
            <v>7578.7545871842603</v>
          </cell>
          <cell r="DQ29">
            <v>7578.7545871842603</v>
          </cell>
          <cell r="DR29">
            <v>7578.7545871842603</v>
          </cell>
          <cell r="DS29">
            <v>7578.7545871842603</v>
          </cell>
          <cell r="DT29">
            <v>7578.7545871842603</v>
          </cell>
          <cell r="DU29">
            <v>7578.7545871842603</v>
          </cell>
          <cell r="DV29">
            <v>7578.7545871842603</v>
          </cell>
          <cell r="DW29">
            <v>7080.8814101882062</v>
          </cell>
          <cell r="DX29">
            <v>7080.8814101882062</v>
          </cell>
          <cell r="DY29">
            <v>7080.8814101882062</v>
          </cell>
          <cell r="DZ29">
            <v>7080.8814101882062</v>
          </cell>
          <cell r="EA29">
            <v>7080.8814101882062</v>
          </cell>
          <cell r="EB29">
            <v>7080.8814101882062</v>
          </cell>
          <cell r="EC29">
            <v>7080.8814101882062</v>
          </cell>
          <cell r="ED29">
            <v>7080.8814101882062</v>
          </cell>
          <cell r="EE29">
            <v>7080.8814101882062</v>
          </cell>
          <cell r="EF29">
            <v>7080.8814101882062</v>
          </cell>
          <cell r="EG29">
            <v>7080.8814101882062</v>
          </cell>
          <cell r="EH29">
            <v>7080.8814101882062</v>
          </cell>
          <cell r="EI29">
            <v>6820.3944554929767</v>
          </cell>
          <cell r="EJ29">
            <v>6820.3944554929767</v>
          </cell>
          <cell r="EK29">
            <v>6820.3944554929767</v>
          </cell>
          <cell r="EL29">
            <v>6820.3944554929767</v>
          </cell>
          <cell r="EM29">
            <v>6820.3944554929767</v>
          </cell>
          <cell r="EN29">
            <v>6820.3944554929767</v>
          </cell>
          <cell r="EO29">
            <v>6820.3944554929767</v>
          </cell>
          <cell r="EP29">
            <v>6820.3944554929767</v>
          </cell>
          <cell r="EQ29">
            <v>6820.3944554929767</v>
          </cell>
          <cell r="ER29">
            <v>6820.3944554929767</v>
          </cell>
          <cell r="ES29">
            <v>6820.3944554929767</v>
          </cell>
          <cell r="ET29">
            <v>6820.3944554929767</v>
          </cell>
          <cell r="EU29">
            <v>6584.7214623643022</v>
          </cell>
          <cell r="EV29">
            <v>6584.7214623643022</v>
          </cell>
          <cell r="EW29">
            <v>6584.7214623643022</v>
          </cell>
          <cell r="EX29">
            <v>6584.7214623643022</v>
          </cell>
          <cell r="EY29">
            <v>6584.7214623643022</v>
          </cell>
          <cell r="EZ29">
            <v>6584.7214623643022</v>
          </cell>
          <cell r="FA29">
            <v>6584.7214623643022</v>
          </cell>
          <cell r="FB29">
            <v>6584.7214623643022</v>
          </cell>
          <cell r="FC29">
            <v>6584.7214623643022</v>
          </cell>
          <cell r="FD29">
            <v>6584.7214623643022</v>
          </cell>
          <cell r="FE29">
            <v>6584.7214623643022</v>
          </cell>
          <cell r="FF29">
            <v>6584.7214623643022</v>
          </cell>
          <cell r="FG29">
            <v>6348.3845931621681</v>
          </cell>
          <cell r="FH29">
            <v>6348.3845931621681</v>
          </cell>
          <cell r="FI29">
            <v>6348.3845931621681</v>
          </cell>
          <cell r="FJ29">
            <v>6348.3845931621681</v>
          </cell>
          <cell r="FK29">
            <v>6348.3845931621681</v>
          </cell>
          <cell r="FL29">
            <v>6348.3845931621681</v>
          </cell>
          <cell r="FM29">
            <v>6348.3845931621681</v>
          </cell>
          <cell r="FN29">
            <v>6348.3845931621681</v>
          </cell>
          <cell r="FO29">
            <v>6348.3845931621681</v>
          </cell>
          <cell r="FP29">
            <v>6348.3845931621681</v>
          </cell>
          <cell r="FQ29">
            <v>6348.3845931621681</v>
          </cell>
          <cell r="FR29">
            <v>6348.3845931621681</v>
          </cell>
          <cell r="FS29">
            <v>6111.7435019180166</v>
          </cell>
          <cell r="FT29">
            <v>6111.7435019180166</v>
          </cell>
          <cell r="FU29">
            <v>6111.7435019180166</v>
          </cell>
          <cell r="FV29">
            <v>6111.7435019180166</v>
          </cell>
          <cell r="FW29">
            <v>6111.7435019180166</v>
          </cell>
          <cell r="FX29">
            <v>6111.7435019180166</v>
          </cell>
          <cell r="FY29">
            <v>6111.7435019180166</v>
          </cell>
          <cell r="FZ29">
            <v>6111.7435019180166</v>
          </cell>
          <cell r="GA29">
            <v>6111.7435019180166</v>
          </cell>
          <cell r="GB29">
            <v>6111.7435019180166</v>
          </cell>
          <cell r="GC29">
            <v>6111.7435019180166</v>
          </cell>
          <cell r="GD29">
            <v>6111.7435019180166</v>
          </cell>
          <cell r="GE29">
            <v>5870.3689102510434</v>
          </cell>
          <cell r="GF29">
            <v>5870.3689102510434</v>
          </cell>
          <cell r="GG29">
            <v>5870.3689102510434</v>
          </cell>
          <cell r="GH29">
            <v>5870.3689102510434</v>
          </cell>
          <cell r="GI29">
            <v>5870.3689102510434</v>
          </cell>
          <cell r="GJ29">
            <v>5870.3689102510434</v>
          </cell>
          <cell r="GK29">
            <v>5870.3689102510434</v>
          </cell>
          <cell r="GL29">
            <v>5870.3689102510434</v>
          </cell>
          <cell r="GM29">
            <v>5870.3689102510434</v>
          </cell>
          <cell r="GN29">
            <v>5870.3689102510434</v>
          </cell>
          <cell r="GO29">
            <v>5870.3689102510434</v>
          </cell>
          <cell r="GP29">
            <v>5870.3689102510434</v>
          </cell>
          <cell r="GQ29">
            <v>5626.0484013875466</v>
          </cell>
          <cell r="GR29">
            <v>5626.0484013875466</v>
          </cell>
          <cell r="GS29">
            <v>5626.0484013875466</v>
          </cell>
          <cell r="GT29">
            <v>5626.0484013875466</v>
          </cell>
          <cell r="GU29">
            <v>5626.0484013875466</v>
          </cell>
          <cell r="GV29">
            <v>5626.0484013875466</v>
          </cell>
          <cell r="GW29">
            <v>5626.0484013875466</v>
          </cell>
          <cell r="GX29">
            <v>5626.0484013875466</v>
          </cell>
          <cell r="GY29">
            <v>5626.0484013875466</v>
          </cell>
          <cell r="GZ29">
            <v>5626.0484013875466</v>
          </cell>
          <cell r="HA29">
            <v>5626.0484013875466</v>
          </cell>
          <cell r="HB29">
            <v>5626.0484013875466</v>
          </cell>
          <cell r="HC29">
            <v>5386.5315322274319</v>
          </cell>
          <cell r="HD29">
            <v>5386.5315322274319</v>
          </cell>
          <cell r="HE29">
            <v>5386.5315322274319</v>
          </cell>
          <cell r="HF29">
            <v>5386.5315322274319</v>
          </cell>
          <cell r="HG29">
            <v>5386.5315322274319</v>
          </cell>
          <cell r="HH29">
            <v>5386.5315322274319</v>
          </cell>
          <cell r="HI29">
            <v>5386.5315322274319</v>
          </cell>
          <cell r="HJ29">
            <v>5386.5315322274319</v>
          </cell>
          <cell r="HK29">
            <v>5386.5315322274319</v>
          </cell>
          <cell r="HL29">
            <v>5386.5315322274319</v>
          </cell>
          <cell r="HM29">
            <v>5386.5315322274319</v>
          </cell>
          <cell r="HN29">
            <v>5386.5315322274319</v>
          </cell>
          <cell r="HO29">
            <v>5115.9498977242711</v>
          </cell>
          <cell r="HP29">
            <v>5115.9498977242711</v>
          </cell>
          <cell r="HQ29">
            <v>5115.9498977242711</v>
          </cell>
          <cell r="HR29">
            <v>5115.9498977242711</v>
          </cell>
          <cell r="HS29">
            <v>5115.9498977242711</v>
          </cell>
          <cell r="HT29">
            <v>5115.9498977242711</v>
          </cell>
          <cell r="HU29">
            <v>5115.9498977242711</v>
          </cell>
          <cell r="HV29">
            <v>5115.9498977242711</v>
          </cell>
          <cell r="HW29">
            <v>5115.9498977242711</v>
          </cell>
          <cell r="HX29">
            <v>5115.9498977242711</v>
          </cell>
          <cell r="HY29">
            <v>5115.9498977242711</v>
          </cell>
          <cell r="HZ29">
            <v>5115.9498977242711</v>
          </cell>
          <cell r="IA29">
            <v>4936.3759489760096</v>
          </cell>
          <cell r="IB29">
            <v>4936.3759489760096</v>
          </cell>
          <cell r="IC29">
            <v>4936.3759489760096</v>
          </cell>
          <cell r="ID29">
            <v>4936.3759489760096</v>
          </cell>
          <cell r="IE29">
            <v>4936.3759489760096</v>
          </cell>
          <cell r="IF29">
            <v>4936.3759489760096</v>
          </cell>
          <cell r="IG29">
            <v>4936.3759489760096</v>
          </cell>
          <cell r="IH29">
            <v>4936.3759489760096</v>
          </cell>
          <cell r="II29">
            <v>4936.3759489760096</v>
          </cell>
          <cell r="IJ29">
            <v>4936.3759489760096</v>
          </cell>
          <cell r="IK29">
            <v>4936.3759489760096</v>
          </cell>
          <cell r="IL29">
            <v>4936.3759489760096</v>
          </cell>
          <cell r="IM29">
            <v>4660.3122841622699</v>
          </cell>
          <cell r="IN29">
            <v>4660.3122841622699</v>
          </cell>
          <cell r="IO29">
            <v>4660.3122841622699</v>
          </cell>
          <cell r="IP29">
            <v>4660.3122841622699</v>
          </cell>
          <cell r="IQ29">
            <v>4660.3122841622699</v>
          </cell>
          <cell r="IR29">
            <v>4660.3122841622699</v>
          </cell>
          <cell r="IS29">
            <v>4660.3122841622699</v>
          </cell>
          <cell r="IT29">
            <v>4660.3122841622699</v>
          </cell>
          <cell r="IU29">
            <v>4660.3122841622699</v>
          </cell>
          <cell r="IV29">
            <v>4660.3122841622699</v>
          </cell>
          <cell r="IW29">
            <v>4660.3122841622699</v>
          </cell>
          <cell r="IX29">
            <v>4660.3122841622699</v>
          </cell>
          <cell r="IY29">
            <v>4394.7500748502507</v>
          </cell>
          <cell r="IZ29">
            <v>4394.7500748502507</v>
          </cell>
          <cell r="JA29">
            <v>4394.7500748502507</v>
          </cell>
          <cell r="JB29">
            <v>4394.7500748502507</v>
          </cell>
          <cell r="JC29">
            <v>4394.7500748502507</v>
          </cell>
          <cell r="JD29">
            <v>4394.7500748502507</v>
          </cell>
          <cell r="JE29">
            <v>4394.7500748502507</v>
          </cell>
          <cell r="JF29">
            <v>4394.7500748502507</v>
          </cell>
          <cell r="JG29">
            <v>4394.7500748502507</v>
          </cell>
          <cell r="JH29">
            <v>4394.7500748502507</v>
          </cell>
          <cell r="JI29">
            <v>4394.7500748502507</v>
          </cell>
          <cell r="JJ29">
            <v>4394.7500748502507</v>
          </cell>
          <cell r="JK29">
            <v>4153.9008778214611</v>
          </cell>
          <cell r="JL29">
            <v>4153.9008778214611</v>
          </cell>
          <cell r="JM29">
            <v>4153.9008778214611</v>
          </cell>
          <cell r="JN29">
            <v>4153.9008778214611</v>
          </cell>
          <cell r="JO29">
            <v>4153.9008778214611</v>
          </cell>
          <cell r="JP29">
            <v>4153.9008778214611</v>
          </cell>
          <cell r="JQ29">
            <v>4153.9008778214611</v>
          </cell>
          <cell r="JR29">
            <v>4153.9008778214611</v>
          </cell>
          <cell r="JS29">
            <v>4153.9008778214611</v>
          </cell>
          <cell r="JT29">
            <v>4153.9008778214611</v>
          </cell>
          <cell r="JU29">
            <v>4153.9008778214611</v>
          </cell>
          <cell r="JV29">
            <v>4153.9008778214611</v>
          </cell>
          <cell r="JW29">
            <v>3910.733402510517</v>
          </cell>
          <cell r="JX29">
            <v>3910.733402510517</v>
          </cell>
          <cell r="JY29">
            <v>3910.733402510517</v>
          </cell>
          <cell r="JZ29">
            <v>3910.733402510517</v>
          </cell>
          <cell r="KA29">
            <v>3910.733402510517</v>
          </cell>
          <cell r="KB29">
            <v>3910.733402510517</v>
          </cell>
          <cell r="KC29">
            <v>3910.733402510517</v>
          </cell>
          <cell r="KD29">
            <v>3910.733402510517</v>
          </cell>
          <cell r="KE29">
            <v>3910.733402510517</v>
          </cell>
          <cell r="KF29">
            <v>3910.733402510517</v>
          </cell>
          <cell r="KG29">
            <v>3910.733402510517</v>
          </cell>
          <cell r="KH29">
            <v>3910.733402510517</v>
          </cell>
          <cell r="KI29">
            <v>3669.2192807372885</v>
          </cell>
          <cell r="KJ29">
            <v>3669.2192807372885</v>
          </cell>
          <cell r="KK29">
            <v>3669.2192807372885</v>
          </cell>
          <cell r="KL29">
            <v>3669.2192807372885</v>
          </cell>
          <cell r="KM29">
            <v>3669.2192807372885</v>
          </cell>
          <cell r="KN29">
            <v>3669.2192807372885</v>
          </cell>
          <cell r="KO29">
            <v>3669.2192807372885</v>
          </cell>
          <cell r="KP29">
            <v>3669.2192807372885</v>
          </cell>
          <cell r="KQ29">
            <v>3669.2192807372885</v>
          </cell>
          <cell r="KR29">
            <v>3669.2192807372885</v>
          </cell>
          <cell r="KS29">
            <v>3669.2192807372885</v>
          </cell>
          <cell r="KT29">
            <v>3669.2192807372885</v>
          </cell>
          <cell r="KU29">
            <v>3436.2055111318678</v>
          </cell>
          <cell r="KV29">
            <v>3436.2055111318678</v>
          </cell>
          <cell r="KW29">
            <v>3436.2055111318678</v>
          </cell>
          <cell r="KX29">
            <v>3436.2055111318678</v>
          </cell>
          <cell r="KY29">
            <v>3436.2055111318678</v>
          </cell>
          <cell r="KZ29">
            <v>3436.2055111318678</v>
          </cell>
          <cell r="LA29">
            <v>3436.2055111318678</v>
          </cell>
          <cell r="LB29">
            <v>3436.2055111318678</v>
          </cell>
          <cell r="LC29">
            <v>3436.2055111318678</v>
          </cell>
          <cell r="LD29">
            <v>3436.2055111318678</v>
          </cell>
          <cell r="LE29">
            <v>3436.2055111318678</v>
          </cell>
          <cell r="LF29">
            <v>3436.2055111318678</v>
          </cell>
          <cell r="LG29">
            <v>3184.2933053279285</v>
          </cell>
          <cell r="LH29">
            <v>3184.2933053279285</v>
          </cell>
          <cell r="LI29">
            <v>3184.2933053279285</v>
          </cell>
          <cell r="LJ29">
            <v>3184.2933053279285</v>
          </cell>
          <cell r="LK29">
            <v>3184.2933053279285</v>
          </cell>
          <cell r="LL29">
            <v>3184.2933053279285</v>
          </cell>
          <cell r="LM29">
            <v>3184.2933053279285</v>
          </cell>
          <cell r="LN29">
            <v>3184.2933053279285</v>
          </cell>
          <cell r="LO29">
            <v>3184.2933053279285</v>
          </cell>
          <cell r="LP29">
            <v>3184.2933053279285</v>
          </cell>
          <cell r="LQ29">
            <v>3184.2933053279285</v>
          </cell>
          <cell r="LR29">
            <v>3184.2933053279285</v>
          </cell>
          <cell r="LS29">
            <v>2942.0125958940021</v>
          </cell>
          <cell r="LT29">
            <v>2942.0125958940021</v>
          </cell>
          <cell r="LU29">
            <v>2942.0125958940021</v>
          </cell>
          <cell r="LV29">
            <v>2942.0125958940021</v>
          </cell>
          <cell r="LW29">
            <v>2942.0125958940021</v>
          </cell>
          <cell r="LX29">
            <v>2942.0125958940021</v>
          </cell>
          <cell r="LY29">
            <v>2942.0125958940021</v>
          </cell>
          <cell r="LZ29">
            <v>2942.0125958940021</v>
          </cell>
          <cell r="MA29">
            <v>2942.0125958940021</v>
          </cell>
          <cell r="MB29">
            <v>2942.0125958940021</v>
          </cell>
          <cell r="MC29">
            <v>2942.0125958940021</v>
          </cell>
          <cell r="MD29">
            <v>2942.0125958940021</v>
          </cell>
          <cell r="ME29">
            <v>2699.0290942644911</v>
          </cell>
          <cell r="MF29">
            <v>2699.0290942644911</v>
          </cell>
          <cell r="MG29">
            <v>2699.0290942644911</v>
          </cell>
          <cell r="MH29">
            <v>2699.0290942644911</v>
          </cell>
          <cell r="MI29">
            <v>2699.0290942644911</v>
          </cell>
          <cell r="MJ29">
            <v>2699.0290942644911</v>
          </cell>
          <cell r="MK29">
            <v>2699.0290942644911</v>
          </cell>
          <cell r="ML29">
            <v>2699.0290942644911</v>
          </cell>
          <cell r="MM29">
            <v>2699.0290942644911</v>
          </cell>
          <cell r="MN29">
            <v>2699.0290942644911</v>
          </cell>
          <cell r="MO29">
            <v>2699.0290942644911</v>
          </cell>
          <cell r="MP29">
            <v>2699.0290942644911</v>
          </cell>
          <cell r="MQ29">
            <v>2455.6452679666108</v>
          </cell>
          <cell r="MR29">
            <v>2455.6452679666108</v>
          </cell>
          <cell r="MS29">
            <v>2455.6452679666108</v>
          </cell>
          <cell r="MT29">
            <v>2455.6452679666108</v>
          </cell>
          <cell r="MU29">
            <v>2455.6452679666108</v>
          </cell>
          <cell r="MV29">
            <v>2455.6452679666108</v>
          </cell>
          <cell r="MW29">
            <v>2455.6452679666108</v>
          </cell>
          <cell r="MX29">
            <v>2455.6452679666108</v>
          </cell>
          <cell r="MY29">
            <v>2455.6452679666108</v>
          </cell>
          <cell r="MZ29">
            <v>2455.6452679666108</v>
          </cell>
          <cell r="NA29">
            <v>2455.6452679666108</v>
          </cell>
          <cell r="NB29">
            <v>2455.6452679666108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Cont Revisão"/>
      <sheetName val="Painel de Investimento"/>
      <sheetName val="CAPEX"/>
      <sheetName val="Resumo Capex"/>
      <sheetName val="Sistema POÇOS"/>
      <sheetName val="Cresc. Vegetativo"/>
      <sheetName val="Hidrometração"/>
      <sheetName val="Rede Coletora"/>
      <sheetName val="ETE"/>
      <sheetName val="Cadastros"/>
      <sheetName val="Desapropriação"/>
      <sheetName val="CPUS AUX"/>
      <sheetName val="Equipamentos"/>
      <sheetName val="MO"/>
      <sheetName val="SINAPI"/>
    </sheetNames>
    <sheetDataSet>
      <sheetData sheetId="0"/>
      <sheetData sheetId="1"/>
      <sheetData sheetId="2"/>
      <sheetData sheetId="3">
        <row r="15">
          <cell r="B15" t="str">
            <v>ITEM</v>
          </cell>
          <cell r="C15" t="str">
            <v>TIPO</v>
          </cell>
          <cell r="D15" t="str">
            <v>DESCRIÇÃO</v>
          </cell>
          <cell r="E15" t="str">
            <v>TOTAL</v>
          </cell>
          <cell r="F15">
            <v>1</v>
          </cell>
          <cell r="G15">
            <v>2</v>
          </cell>
          <cell r="H15">
            <v>3</v>
          </cell>
          <cell r="I15">
            <v>4</v>
          </cell>
          <cell r="J15">
            <v>5</v>
          </cell>
          <cell r="K15">
            <v>6</v>
          </cell>
          <cell r="L15">
            <v>7</v>
          </cell>
          <cell r="M15">
            <v>8</v>
          </cell>
          <cell r="N15">
            <v>9</v>
          </cell>
          <cell r="O15">
            <v>10</v>
          </cell>
          <cell r="P15">
            <v>11</v>
          </cell>
          <cell r="Q15">
            <v>12</v>
          </cell>
          <cell r="R15">
            <v>13</v>
          </cell>
          <cell r="S15">
            <v>14</v>
          </cell>
          <cell r="T15">
            <v>15</v>
          </cell>
          <cell r="U15">
            <v>16</v>
          </cell>
          <cell r="V15">
            <v>17</v>
          </cell>
          <cell r="W15">
            <v>18</v>
          </cell>
          <cell r="X15">
            <v>19</v>
          </cell>
          <cell r="Y15">
            <v>20</v>
          </cell>
          <cell r="Z15">
            <v>21</v>
          </cell>
          <cell r="AA15">
            <v>22</v>
          </cell>
          <cell r="AB15">
            <v>23</v>
          </cell>
          <cell r="AC15">
            <v>24</v>
          </cell>
          <cell r="AD15">
            <v>25</v>
          </cell>
          <cell r="AE15">
            <v>26</v>
          </cell>
          <cell r="AF15">
            <v>27</v>
          </cell>
          <cell r="AG15">
            <v>28</v>
          </cell>
          <cell r="AH15">
            <v>29</v>
          </cell>
          <cell r="AI15">
            <v>30</v>
          </cell>
        </row>
        <row r="17">
          <cell r="B17" t="str">
            <v>1.</v>
          </cell>
          <cell r="D17" t="str">
            <v>SISTEMA DE ABASTECIMENTO DE ÁGUA - SAA</v>
          </cell>
          <cell r="E17">
            <v>12713220.919147432</v>
          </cell>
          <cell r="F17">
            <v>2213433.7957281922</v>
          </cell>
          <cell r="G17">
            <v>1150130.8214603937</v>
          </cell>
          <cell r="H17">
            <v>1022586.7199087691</v>
          </cell>
          <cell r="I17">
            <v>1270883.7090662422</v>
          </cell>
          <cell r="J17">
            <v>764425.99038118788</v>
          </cell>
          <cell r="K17">
            <v>456337.99185360671</v>
          </cell>
          <cell r="L17">
            <v>454488.06901107967</v>
          </cell>
          <cell r="M17">
            <v>449830.16432602552</v>
          </cell>
          <cell r="N17">
            <v>445108.74864097132</v>
          </cell>
          <cell r="O17">
            <v>438029.32211339002</v>
          </cell>
          <cell r="P17">
            <v>404035.06819912494</v>
          </cell>
          <cell r="Q17">
            <v>396955.64167154359</v>
          </cell>
          <cell r="R17">
            <v>392170.71498648939</v>
          </cell>
          <cell r="S17">
            <v>389658.56214396236</v>
          </cell>
          <cell r="T17">
            <v>384810.12445890828</v>
          </cell>
          <cell r="U17">
            <v>141790.38832296027</v>
          </cell>
          <cell r="V17">
            <v>136856.71363790613</v>
          </cell>
          <cell r="W17">
            <v>136898.49863790613</v>
          </cell>
          <cell r="X17">
            <v>126969.30526779783</v>
          </cell>
          <cell r="Y17">
            <v>477974.79642527073</v>
          </cell>
          <cell r="Z17">
            <v>122035.63058274367</v>
          </cell>
          <cell r="AA17">
            <v>114723.88605516245</v>
          </cell>
          <cell r="AB17">
            <v>111957.68921263538</v>
          </cell>
          <cell r="AC17">
            <v>106918.71852758122</v>
          </cell>
          <cell r="AD17">
            <v>101816.23684252707</v>
          </cell>
          <cell r="AE17">
            <v>104560.70768505415</v>
          </cell>
          <cell r="AF17">
            <v>99458.225999999995</v>
          </cell>
          <cell r="AG17">
            <v>99458.225999999995</v>
          </cell>
          <cell r="AH17">
            <v>99458.225999999995</v>
          </cell>
          <cell r="AI17">
            <v>99458.225999999995</v>
          </cell>
        </row>
        <row r="26">
          <cell r="B26" t="str">
            <v>2.</v>
          </cell>
          <cell r="D26" t="str">
            <v>SISTEMA DE ESGOTAMENTO SANITÁRIO - SES</v>
          </cell>
          <cell r="E26">
            <v>13056716.454463776</v>
          </cell>
          <cell r="F26">
            <v>1096652.4379078702</v>
          </cell>
          <cell r="G26">
            <v>593135.6038087873</v>
          </cell>
          <cell r="H26">
            <v>385886.29428045242</v>
          </cell>
          <cell r="I26">
            <v>384383.66388177604</v>
          </cell>
          <cell r="J26">
            <v>1325273.2815507574</v>
          </cell>
          <cell r="K26">
            <v>369678.75942524691</v>
          </cell>
          <cell r="L26">
            <v>367906.32057971985</v>
          </cell>
          <cell r="M26">
            <v>362176.89423078403</v>
          </cell>
          <cell r="N26">
            <v>356357.53173289809</v>
          </cell>
          <cell r="O26">
            <v>1990088.1903523789</v>
          </cell>
          <cell r="P26">
            <v>344710.25329027529</v>
          </cell>
          <cell r="Q26">
            <v>334972.09801430267</v>
          </cell>
          <cell r="R26">
            <v>332398.78727507428</v>
          </cell>
          <cell r="S26">
            <v>326131.52413013473</v>
          </cell>
          <cell r="T26">
            <v>323684.56416748092</v>
          </cell>
          <cell r="U26">
            <v>313631.63237018249</v>
          </cell>
          <cell r="V26">
            <v>314394.30953856185</v>
          </cell>
          <cell r="W26">
            <v>300555.70908890443</v>
          </cell>
          <cell r="X26">
            <v>293838.76519921375</v>
          </cell>
          <cell r="Y26">
            <v>294331.63392074232</v>
          </cell>
          <cell r="Z26">
            <v>283873.98945316783</v>
          </cell>
          <cell r="AA26">
            <v>276932.20519110165</v>
          </cell>
          <cell r="AB26">
            <v>273551.24920901872</v>
          </cell>
          <cell r="AC26">
            <v>262823.79629459349</v>
          </cell>
          <cell r="AD26">
            <v>262913.73244354373</v>
          </cell>
          <cell r="AE26">
            <v>263264.92359249387</v>
          </cell>
          <cell r="AF26">
            <v>255792.07588357694</v>
          </cell>
          <cell r="AG26">
            <v>255792.07588357694</v>
          </cell>
          <cell r="AH26">
            <v>255792.07588357694</v>
          </cell>
          <cell r="AI26">
            <v>255792.07588357694</v>
          </cell>
        </row>
        <row r="33">
          <cell r="B33" t="str">
            <v>3.</v>
          </cell>
          <cell r="D33" t="str">
            <v>OUTROS INVESTIMENTOS</v>
          </cell>
          <cell r="E33">
            <v>8959635.956464868</v>
          </cell>
          <cell r="F33">
            <v>3460491.0161816967</v>
          </cell>
          <cell r="G33">
            <v>880198.73649036069</v>
          </cell>
          <cell r="H33">
            <v>508003.56242176867</v>
          </cell>
          <cell r="I33">
            <v>376681.04534715979</v>
          </cell>
          <cell r="J33">
            <v>666291.41932730423</v>
          </cell>
          <cell r="K33">
            <v>163401.79330744862</v>
          </cell>
          <cell r="L33">
            <v>120745.94289950636</v>
          </cell>
          <cell r="M33">
            <v>120434.24208362188</v>
          </cell>
          <cell r="N33">
            <v>323348.77228627756</v>
          </cell>
          <cell r="O33">
            <v>119732.91524788181</v>
          </cell>
          <cell r="P33">
            <v>210785.88621841156</v>
          </cell>
          <cell r="Q33">
            <v>67818.334994584846</v>
          </cell>
          <cell r="R33">
            <v>67584.55938267149</v>
          </cell>
          <cell r="S33">
            <v>67350.78377075812</v>
          </cell>
          <cell r="T33">
            <v>67117.008158844765</v>
          </cell>
          <cell r="U33">
            <v>288316.1236016847</v>
          </cell>
          <cell r="V33">
            <v>245660.27319374244</v>
          </cell>
          <cell r="W33">
            <v>245348.57237785798</v>
          </cell>
          <cell r="X33">
            <v>65714.354487364617</v>
          </cell>
          <cell r="Y33">
            <v>65636.429283393503</v>
          </cell>
          <cell r="Z33">
            <v>207824.72846750903</v>
          </cell>
          <cell r="AA33">
            <v>64935.102447653429</v>
          </cell>
          <cell r="AB33">
            <v>64779.252039711195</v>
          </cell>
          <cell r="AC33">
            <v>64389.626019855597</v>
          </cell>
          <cell r="AD33">
            <v>64233.775611913356</v>
          </cell>
          <cell r="AE33">
            <v>106811.70081588448</v>
          </cell>
          <cell r="AF33">
            <v>64000</v>
          </cell>
          <cell r="AG33">
            <v>64000</v>
          </cell>
          <cell r="AH33">
            <v>64000</v>
          </cell>
          <cell r="AI33">
            <v>64000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6922ED-7294-3D43-9A55-D910A29B3956}" name="Tabela1" displayName="Tabela1" ref="A1:IA24" totalsRowShown="0">
  <autoFilter ref="A1:IA24" xr:uid="{D66922ED-7294-3D43-9A55-D910A29B3956}"/>
  <tableColumns count="235">
    <tableColumn id="1" xr3:uid="{31EDE190-45C3-F042-A865-D51D69EA09F8}" name="Código do Município"/>
    <tableColumn id="2" xr3:uid="{2FC62B78-264F-3B4B-B724-1C95EE93DFB7}" name="Município"/>
    <tableColumn id="3" xr3:uid="{9FA467A9-758F-3C43-A871-DDF2952E9175}" name="Estado"/>
    <tableColumn id="4" xr3:uid="{F39B5AAF-BE6C-4F48-9D95-98A7F203F283}" name="Ano de Referência"/>
    <tableColumn id="5" xr3:uid="{813C890E-5407-7D4D-9389-7D6A491EB6CD}" name="Código do Prestador"/>
    <tableColumn id="6" xr3:uid="{EAC5E018-7CB8-2641-B724-3CAEC5CC6EEE}" name="Prestador"/>
    <tableColumn id="7" xr3:uid="{734CC29F-7838-A64F-A115-1ABE9F402D75}" name="Sigla do Prestador"/>
    <tableColumn id="8" xr3:uid="{4E5C1060-FA27-5E44-9545-77518E8EB9EC}" name="Abrangência"/>
    <tableColumn id="9" xr3:uid="{ADB3F15D-F9AD-D249-9A64-0007345F0AA2}" name="Tipo de serviço"/>
    <tableColumn id="10" xr3:uid="{1CDDA585-ACE2-C74F-B018-6D82AD979DF6}" name="Natureza jurídica"/>
    <tableColumn id="11" xr3:uid="{3551796D-A3AB-8647-A1C1-6E7F890FDA86}" name="GE001 - Quantidade de municípios atendidos com abastecimento de água com delegação em vigor"/>
    <tableColumn id="12" xr3:uid="{5A702592-D6D8-BF43-9F65-68DFDA1DF319}" name="GE002 - Quantidade de municípios atendidos com abastecimento de água com delegação vencida"/>
    <tableColumn id="13" xr3:uid="{4ABAF6A7-F72B-E44F-9C75-4C0B2A8470EC}" name="GE003 - Quantidade de municípios atendidos com abastecimento de água sem delegação"/>
    <tableColumn id="14" xr3:uid="{FCD2183F-7075-5347-9711-D56CAC6D5B8B}" name="GE008 - Quantidade de Sedes municipais atendidas com abastecimento de água"/>
    <tableColumn id="15" xr3:uid="{ABAB0AEA-90EE-0F4A-BD17-DF2CC332A6DB}" name="GE009 - Quantidade de Sedes municipais atendidas com esgotamento sanitário"/>
    <tableColumn id="16" xr3:uid="{A259A657-C25C-2C4E-890E-90365E2FC4CF}" name="GE010 - Quantidade de Localidades (excluídas as sedes) atendidas com abastecimento de água"/>
    <tableColumn id="17" xr3:uid="{5FE3BCDE-D53E-AB4A-AFC7-16FE46D3F012}" name="GE011 - Quantidade de Localidades (excluídas as sedes) atendidas com esgotamento sanitário"/>
    <tableColumn id="18" xr3:uid="{FC3E0BFE-4203-2442-BA3C-B0CF8A8FA1D2}" name="GE014 - Quantidade de municípios atendidos com esgotamento sanitário com delegação em vigor"/>
    <tableColumn id="19" xr3:uid="{19E705F0-6634-0348-BE73-3BE2BF7E8C75}" name="GE015 - Quantidade de municípios atendidos com esgotamento sanitário com delegação vencida"/>
    <tableColumn id="20" xr3:uid="{285869C1-8D09-794C-91B3-AC87F463763D}" name="GE016 - Quantidade de municípios atendidos com esgotamento sanitário sem delegação"/>
    <tableColumn id="21" xr3:uid="{AE480085-3F12-5D4E-97DE-405118B92340}" name="GE017 - Ano de vencimento da delegação de abastecimento de água"/>
    <tableColumn id="22" xr3:uid="{9141B628-8A80-644B-9208-9A567F10FDB8}" name="GE018 - Ano de vencimento da delegação de esgotamento sanitário"/>
    <tableColumn id="23" xr3:uid="{EED8272B-700E-804F-9C32-1266F6E7C0D2}" name="GE019 - Onde atende com abastecimento de água"/>
    <tableColumn id="24" xr3:uid="{2E54CE93-C126-004C-A0B2-960CC73BD29E}" name="GE020 - Onde atende com esgotamento sanitário"/>
    <tableColumn id="25" xr3:uid="{E1146AE4-75BF-C749-8C81-3E52818C03F0}" name="GE030 - Quantidade de municípios não atendidos com esgotamento sanitário e sem delegação para prestar esse serviço"/>
    <tableColumn id="26" xr3:uid="{D96FFA23-8882-7044-89E3-B498DDA5BA04}" name="POP_TOT - População total do município do ano de referência (Fonte: IBGE):" dataDxfId="58"/>
    <tableColumn id="27" xr3:uid="{ABDB4C1E-24A8-D341-A3BB-EAA9D9FA3FD1}" name="POP_URB - População urbana do município do ano de referência (Fonte: IBGE):" dataDxfId="57"/>
    <tableColumn id="28" xr3:uid="{70434A9A-5AFE-B040-8552-03321BF4BCB1}" name="AG001 - População total atendida com abastecimento de água" dataDxfId="56"/>
    <tableColumn id="29" xr3:uid="{1F46A903-7A9E-D54A-9EA0-21507D3AB936}" name="AG001A - População total atendida com abastecimento de água no ano anterior ao de referência." dataDxfId="55"/>
    <tableColumn id="30" xr3:uid="{742D6CEB-D3B5-014D-A36B-D4114685D320}" name="AG002 - Quantidade de ligações ativas de água" dataDxfId="54"/>
    <tableColumn id="31" xr3:uid="{C09EFC07-FDD1-7441-9406-2676C752FE73}" name="AG002A - Quantidade de ligações ativas de água no ano anterior ao de referência." dataDxfId="53"/>
    <tableColumn id="32" xr3:uid="{22558862-D016-3948-A62E-819BF1FB2FB7}" name="AG003 - Quantidade de economias ativas de água" dataDxfId="52"/>
    <tableColumn id="33" xr3:uid="{342617F6-961E-DC43-9539-DF549599E87F}" name="AG003A - Quantidade de economias ativas de água no ano anterior ao de referência." dataDxfId="51"/>
    <tableColumn id="34" xr3:uid="{671402B6-DB5E-004F-A23A-35DC9B9C01A8}" name="AG004 - Quantidade de ligações ativas de água micromedidas" dataDxfId="50"/>
    <tableColumn id="35" xr3:uid="{89C2D207-45A1-B843-968C-54BFE5AB0E2F}" name="AG004A - Quantidade de ligações ativas de água micromedidas no ano anterior ao de referência." dataDxfId="49"/>
    <tableColumn id="36" xr3:uid="{1E30220B-BB7F-0F49-A746-4DA28F3D8B0F}" name="AG005 - Extensão da rede de água"/>
    <tableColumn id="37" xr3:uid="{CEBE4C95-2359-4743-940C-937C8B70BA74}" name="AG005A - Extensão da rede de água no ano anterior ao de referência."/>
    <tableColumn id="38" xr3:uid="{1A75D4A4-633A-AB49-ABAC-EA0DB832AABC}" name="AG006 - Volume de água produzido" dataDxfId="48"/>
    <tableColumn id="39" xr3:uid="{00FE5211-D89B-034D-8A3F-E87D05037FD0}" name="AG007 - Volume de água tratada em ETAs" dataDxfId="47"/>
    <tableColumn id="40" xr3:uid="{45DDE498-30C1-2C46-A8E0-3ED3927D119B}" name="AG008 - Volume de água micromedido" dataDxfId="46"/>
    <tableColumn id="41" xr3:uid="{7CAC3E1C-21E7-504C-B967-1848AFB71655}" name="AG010 - Volume de água consumido" dataDxfId="45"/>
    <tableColumn id="42" xr3:uid="{B0C0156F-006A-E94E-B516-739F40023CAF}" name="AG011 - Volume de água faturado" dataDxfId="44"/>
    <tableColumn id="43" xr3:uid="{160950C1-8828-D34F-A72D-10F2BFA715D7}" name="AG012 - Volume de água macromedido"/>
    <tableColumn id="44" xr3:uid="{E0612D05-57C3-1243-8AA1-39EBDC491132}" name="AG013 - Quantidade de economias residenciais ativas de água" dataDxfId="43"/>
    <tableColumn id="45" xr3:uid="{EBB17304-A7A2-9348-96E1-9371E112B878}" name="AG013A - Quantidade de economias residenciais ativas de água no ano anterior ao de referência." dataDxfId="42"/>
    <tableColumn id="46" xr3:uid="{DFE6827D-ED55-7544-AAED-B74B1081C792}" name="AG014 - Quantidade de economias ativas de água micromedidas" dataDxfId="41"/>
    <tableColumn id="47" xr3:uid="{CA8177FA-6BBC-8C4C-966A-1872C6AB45DA}" name="AG014A - Quantidade de economias ativas de água micromedidas no ano anterior ao de referência." dataDxfId="40"/>
    <tableColumn id="48" xr3:uid="{233DB907-73F6-2C4E-B059-7670F3DE12AC}" name="AG015 - Volume de água tratada por simples desinfecção"/>
    <tableColumn id="49" xr3:uid="{F49F3882-8905-B148-87B5-01272868A89C}" name="AG017 - Volume de água bruta exportado"/>
    <tableColumn id="50" xr3:uid="{F1177EE1-1258-FA4E-816A-F9966A200331}" name="AG018 - Volume de água tratada importado"/>
    <tableColumn id="51" xr3:uid="{50976BDC-25A5-0F40-B998-B1EF8E939121}" name="AG019 - Volume de água tratada exportado"/>
    <tableColumn id="52" xr3:uid="{4508DDD8-7A03-604C-9E97-11C787496D11}" name="AG020 - Volume micromedido nas economias residenciais ativas de água" dataDxfId="39"/>
    <tableColumn id="53" xr3:uid="{60B30010-20E6-0343-BD61-8B7E12CEA6CC}" name="AG021 - Quantidade de ligações totais de água" dataDxfId="38"/>
    <tableColumn id="54" xr3:uid="{8B7620F8-D918-EA42-884E-330A50F1826A}" name="AG021A - Quantidade de ligações totais de água no ano anterior ao de referência." dataDxfId="37"/>
    <tableColumn id="55" xr3:uid="{3188D2E8-70B0-1047-854A-0AF784728332}" name="AG022 - Quantidade de economias residenciais ativas de água micromedidas" dataDxfId="36"/>
    <tableColumn id="56" xr3:uid="{D931EC80-FB16-F744-BCC5-B4210A4552A7}" name="AG022A - Quantidade de economias residenciais ativas de água micromedidas no ano anterior ao de referência." dataDxfId="35"/>
    <tableColumn id="57" xr3:uid="{5A14649A-B906-0749-9E43-0552C7536045}" name="AG024 - Volume de serviço"/>
    <tableColumn id="58" xr3:uid="{31AE4B0E-ABDB-5C4F-AD8B-FBF8C0241F3C}" name="AG025A - População rural atendida com abastecimento de água no ano anterior ao de referência."/>
    <tableColumn id="59" xr3:uid="{67EDF3C3-75EE-D942-9443-6C818086918F}" name="AG026 - População urbana atendida com abastecimento de água"/>
    <tableColumn id="60" xr3:uid="{45F4EDBB-A95B-844E-9919-CAC6ACED1880}" name="AG026A - População urbana atendida com abastecimento de água no ano anterior ao de referência."/>
    <tableColumn id="61" xr3:uid="{2600B526-FC96-8944-9D4F-3A363E2360A7}" name="AG027 - Volume de água fluoretada"/>
    <tableColumn id="62" xr3:uid="{1BDD37FD-1B26-1947-8965-1B038CA995C1}" name="AG028 - Consumo total de energia elétrica nos sistemas de água"/>
    <tableColumn id="63" xr3:uid="{442DB37A-9221-7E42-A59E-60449B422844}" name="ES001 - População total atendida com esgotamento sanitário" dataDxfId="34"/>
    <tableColumn id="64" xr3:uid="{C7CC75F8-28FE-124D-9826-4A477DA68748}" name="ES001A - População total atendida com esgotamento sanitário no ano anterior ao de referência." dataDxfId="33"/>
    <tableColumn id="65" xr3:uid="{877D7ABD-8DD4-0E47-9C39-7CB58854294C}" name="ES002 - Quantidade de ligações ativas de esgotos" dataDxfId="32"/>
    <tableColumn id="66" xr3:uid="{9010B6F8-4143-7548-8B8A-338F8BF0D0ED}" name="ES002A - Quantidade de ligações ativas de esgoto no ano anterior ao de referência." dataDxfId="31"/>
    <tableColumn id="67" xr3:uid="{D0B5ECD8-0419-054A-A21A-7F5C0DBE45CE}" name="ES003 - Quantidade de economias ativas de esgotos" dataDxfId="30"/>
    <tableColumn id="68" xr3:uid="{018CBFCE-B7A7-C34E-9D0C-F1EFAFC3E347}" name="ES003A - Quantidade de economias ativas de esgoto no ano anterior ao de referência." dataDxfId="29"/>
    <tableColumn id="69" xr3:uid="{2526DAEF-5521-264A-A47B-F27D3DCBEA05}" name="ES004 - Extensão da rede de esgotos"/>
    <tableColumn id="70" xr3:uid="{9239EBF1-9B36-9B4A-8952-D6821B4EEEC7}" name="ES004A - Extensão da rede de esgoto no ano anterior ao de referência."/>
    <tableColumn id="71" xr3:uid="{37E67EB2-E19C-674D-AAC9-9C002F81688C}" name="ES005 - Volume de esgotos coletado" dataDxfId="28"/>
    <tableColumn id="72" xr3:uid="{CE5BE2AA-5D0B-334C-884C-CF2841455ABF}" name="ES006 - Volume de esgotos tratado"/>
    <tableColumn id="73" xr3:uid="{93FECF2C-212F-604D-8177-678087064646}" name="ES007 - Volume de esgotos faturado" dataDxfId="27"/>
    <tableColumn id="74" xr3:uid="{37DD8CC4-71CB-1947-AFCA-EDCC2FA27EA9}" name="ES008 - Quantidade de economias residenciais ativas de esgotos" dataDxfId="26"/>
    <tableColumn id="75" xr3:uid="{AA8D16C8-9907-C142-8006-1183A8D55D32}" name="ES008A - Quantidade de economias residenciais ativas de esgoto no ano anterior ao de referência." dataDxfId="25"/>
    <tableColumn id="76" xr3:uid="{0E5905CB-B28C-D44C-8142-31529E87A793}" name="ES009 - Quantidade de ligações totais de esgotos" dataDxfId="24"/>
    <tableColumn id="77" xr3:uid="{C7771502-0CFD-6A4E-8CCD-5D54B6DE00DB}" name="ES009A - Quantidade de ligações totais de esgoto no ano anterior ao de referência." dataDxfId="23"/>
    <tableColumn id="78" xr3:uid="{B472EB37-9C2F-F348-AECA-A0974DDD2C37}" name="ES012 - Volume de esgoto bruto exportado"/>
    <tableColumn id="79" xr3:uid="{DAA870EB-C695-964A-9D0B-045DA05640CC}" name="ES013 - Volume de esgotos bruto importado"/>
    <tableColumn id="80" xr3:uid="{F7966179-7289-0A4E-B1E3-FC09DD3AA5B9}" name="ES014 - Volume de esgoto importado tratado nas instalações do importador"/>
    <tableColumn id="81" xr3:uid="{8CC1ADD8-0013-8A40-B188-65BD542EC868}" name="ES015 - Volume de esgoto bruto exportado tratado nas instalações do importador"/>
    <tableColumn id="82" xr3:uid="{AE2AA951-76F9-DD4A-B24B-6BD5AB173052}" name="ES025A - População rural atendida com esgotamento sanitário no ano anterior ao de referência."/>
    <tableColumn id="83" xr3:uid="{4A42F02F-19D3-3A4D-ADD2-27BF087ACE29}" name="ES026 - População urbana atendida com esgotamento sanitário"/>
    <tableColumn id="84" xr3:uid="{E89936F3-F9F3-114C-B2ED-C5ACEC970E13}" name="ES026A - População urbana atendida com esgotamento sanitário no ano anterior ao de referência."/>
    <tableColumn id="85" xr3:uid="{6D93C52B-3A83-8340-A959-9B914828A581}" name="ES028 - Consumo total de energia elétrica nos sistemas de esgotos"/>
    <tableColumn id="86" xr3:uid="{DF855CF6-68E7-D74B-A57B-840FE8868F49}" name="FN001 - Receita operacional direta total" dataDxfId="22"/>
    <tableColumn id="87" xr3:uid="{7BBE3FBF-CF27-2245-A6A7-4E66A61D56C5}" name="FN002 - Receita operacional direta de água" dataDxfId="21"/>
    <tableColumn id="88" xr3:uid="{7A337BCA-7ACD-4645-85D6-B4D3F55C7A55}" name="FN003 - Receita operacional direta de esgoto" dataDxfId="20"/>
    <tableColumn id="89" xr3:uid="{56A6C96C-C0A4-5941-9086-C06443D90E58}" name="FN004 - Receita operacional indireta" dataDxfId="19"/>
    <tableColumn id="90" xr3:uid="{750E4668-3139-FE43-AD80-1C06B5BB45BD}" name="FN005 - Receita operacional total (direta + indireta)" dataDxfId="18"/>
    <tableColumn id="91" xr3:uid="{2C438164-402E-BC43-8536-ADE8AFE30D64}" name="FN006 - Arrecadação total" dataDxfId="17"/>
    <tableColumn id="92" xr3:uid="{09C19E91-B322-2141-B45F-7EB731E89133}" name="FN007 - Receita operacional direta de água exportada (bruta ou tratada)"/>
    <tableColumn id="93" xr3:uid="{F7718298-A62C-DA46-8717-5E9438C5735C}" name="FN008 - Créditos de contas a receber" dataDxfId="16"/>
    <tableColumn id="94" xr3:uid="{0426588C-D8E1-4F46-8A83-85E70892081F}" name="FN008A - Crédito de contas a receber no ano anterior ao de referência." dataDxfId="15"/>
    <tableColumn id="95" xr3:uid="{8BCC7662-A0C4-7343-9E33-E952230FE78B}" name="FN010 - Despesa com pessoal próprio" dataDxfId="14"/>
    <tableColumn id="96" xr3:uid="{5BD02715-6C8D-924A-97D0-C8A2EAD6925C}" name="FN011 - Despesa com produtos químicos" dataDxfId="13"/>
    <tableColumn id="97" xr3:uid="{B6374F0E-492B-B34B-A724-F10C499D9E98}" name="FN013 - Despesa com energia elétrica" dataDxfId="12"/>
    <tableColumn id="98" xr3:uid="{E9AB91C7-D930-E244-B48F-C136595EA3DC}" name="FN014 - Despesa com serviços de terceiros" dataDxfId="11"/>
    <tableColumn id="99" xr3:uid="{C80447EC-7426-994F-BCF1-43DC7163796B}" name="FN015 - Despesas de Exploração (DEX)" dataDxfId="10"/>
    <tableColumn id="100" xr3:uid="{597F302D-AA7A-0F45-957F-4984D9521F8D}" name="FN016 - Despesas com juros e encargos do serviço da dívida"/>
    <tableColumn id="101" xr3:uid="{5D4B92F5-75E0-2546-A583-C740E6AA336F}" name="FN017 - Despesas totais com os serviços (DTS)" dataDxfId="9"/>
    <tableColumn id="102" xr3:uid="{96F0A969-A0E8-B742-A04A-604B012AD4D7}" name="FN018 - Despesas capitalizáveis realizadas pelo prestador de serviços"/>
    <tableColumn id="103" xr3:uid="{2961E502-DA28-C847-BD58-5D781B1113E4}" name="FN019 - Despesas com depreciação, amortização do ativo diferido e provisão para devedores duvidosos" dataDxfId="8"/>
    <tableColumn id="104" xr3:uid="{E1AF9FEC-124B-BE48-98B9-D32FC1A7DE88}" name="FN020 - Despesa com água importada (bruta ou tratada)"/>
    <tableColumn id="105" xr3:uid="{DE3B9B52-DEFD-8648-BD40-29FCD2CCB7DD}" name="FN021 - Despesas fiscais ou tributárias computadas na DEX"/>
    <tableColumn id="106" xr3:uid="{5475E95C-65A9-DF41-A797-4E44A2FBBD3E}" name="FN022 - Despesas fiscais ou tributárias não computadas na DEX"/>
    <tableColumn id="107" xr3:uid="{1661463D-1573-3C42-98E4-F3EE56CEB12D}" name="FN023 - Investimento realizado em abastecimento de água pelo prestador de serviços" dataDxfId="7"/>
    <tableColumn id="108" xr3:uid="{68C66E1A-A436-B047-8F54-197BFB96CA0A}" name="FN024 - Investimento realizado em esgotamento sanitário pelo prestador de serviços" dataDxfId="6"/>
    <tableColumn id="109" xr3:uid="{E0906F61-497A-A145-B80F-49B45FDF8A68}" name="FN025 - Outros investimentos realizados pelo prestador de serviços" dataDxfId="5"/>
    <tableColumn id="110" xr3:uid="{4F7E88C3-795E-CC49-A16A-00A9D32BBEAB}" name="FN026 - Quantidade total de empregados próprios"/>
    <tableColumn id="111" xr3:uid="{2BC0EFEA-431C-BE40-BB9D-0E893DA75380}" name="FN026A - Quantidade total de empregados próprios no ano anterior ao de referência."/>
    <tableColumn id="112" xr3:uid="{4FA5841A-C23B-A845-BA36-8CB48E21569A}" name="FN027 - Outras despesas de exploração" dataDxfId="4"/>
    <tableColumn id="113" xr3:uid="{9467B90D-A0D3-4B48-9386-78354F5EAF66}" name="FN028 - Outras despesas com os serviços" dataDxfId="3"/>
    <tableColumn id="114" xr3:uid="{C51847FF-5339-D241-AFC9-F353FED1F393}" name="FN030 - Investimento com recursos próprios realizado pelo prestador de serviços." dataDxfId="2"/>
    <tableColumn id="115" xr3:uid="{97C4FCE4-DE6D-E148-99C0-B72D2A93B18A}" name="FN031 - Investimento com recursos onerosos realizado pelo prestador de serviços."/>
    <tableColumn id="116" xr3:uid="{CD521303-326D-9948-A091-54B1C8755F5E}" name="FN032 - Investimento com recursos não onerosos realizado pelo prestador de serviços."/>
    <tableColumn id="117" xr3:uid="{11839380-662E-BC4A-9920-95E7A4C769A2}" name="FN033 - Investimentos totais realizados pelo prestador de serviços" dataDxfId="1"/>
    <tableColumn id="118" xr3:uid="{91577C76-A80E-484B-9125-E1307C6220D3}" name="FN034 - Despesas com amortizações do serviço da dívida"/>
    <tableColumn id="119" xr3:uid="{F2B9C49E-B77E-384B-A28B-D11F1756BC91}" name="FN035 - Despesas com juros e encargos do serviço da dívida, exceto variações monetária e cambial"/>
    <tableColumn id="120" xr3:uid="{55175E95-23FF-E04E-A663-C38705B21015}" name="FN036 - Despesa com variações monetárias e cambiais das dívidas"/>
    <tableColumn id="121" xr3:uid="{F83E579F-8F27-9342-BE41-14C678140287}" name="FN037 - Despesas totais com o serviço da dívida"/>
    <tableColumn id="122" xr3:uid="{B6F3DA93-7BCC-DE41-A890-69AE0FB07511}" name="FN038 - Receita operacional direta - esgoto bruto importado"/>
    <tableColumn id="123" xr3:uid="{E53FA799-89BF-674C-97F6-95F0B7BA6EB2}" name="FN039 - Despesa com esgoto exportado"/>
    <tableColumn id="124" xr3:uid="{19ADC0D5-91DB-384A-8D46-7A772B3228AD}" name="FN041 - Despesas capitalizáveis realizadas pelo(s) município(s)"/>
    <tableColumn id="125" xr3:uid="{F3896F3D-7DA0-6149-A4AF-7968A81B8DEA}" name="FN042 - Investimento realizado em abastecimento de água pelo(s) município(s)"/>
    <tableColumn id="126" xr3:uid="{DE4B7769-4C49-0144-857D-D3A44A6E5C7F}" name="FN043 - Investimento realizado em esgotamento sanitário pelo(s) município(s)"/>
    <tableColumn id="127" xr3:uid="{1BFB7335-FAE3-0544-98D1-2B77EEBDE149}" name="FN044 - Outros investimentos realizados pelo(s) município(s)"/>
    <tableColumn id="128" xr3:uid="{9811E7C3-D86B-344D-ADD6-459AFE70DCBF}" name="FN045 - Investimento com recursos próprios realizado pelo(s) município(s)"/>
    <tableColumn id="129" xr3:uid="{A3DD0D46-BBEA-A04F-A294-443AF85F9D88}" name="FN046 - Investimento com recursos onerosos realizado pelo(s) município(s)"/>
    <tableColumn id="130" xr3:uid="{51048754-B6EB-E24A-BEC3-BF70A0AAD325}" name="FN047 - Investimento com recursos não onerosos realizado pelo(s) município(s)"/>
    <tableColumn id="131" xr3:uid="{7192EA51-1A51-A140-A029-6DC0B4F8131E}" name="FN048 - Investimentos totais realizados pelo(s) município(s)"/>
    <tableColumn id="132" xr3:uid="{FB38F001-CF28-B145-ACD8-54A4F6E76E0E}" name="FN051 - Despesas capitalizáveis realizadas pelo estado"/>
    <tableColumn id="133" xr3:uid="{E08CD557-E2B3-7E4B-B46D-742DD689C364}" name="FN052 - Investimento realizado em abastecimento de água pelo estado"/>
    <tableColumn id="134" xr3:uid="{99D43834-5E06-9A48-A35B-480A3C4418D6}" name="FN053 - Investimento realizado em esgotamento sanitário pelo estado"/>
    <tableColumn id="135" xr3:uid="{F6F7856A-A8AA-EE48-8A95-18566B1533CC}" name="FN054 - Outros investimentos realizados pelo estado"/>
    <tableColumn id="136" xr3:uid="{6F88C3B4-B500-844A-938B-7F7D98C603C8}" name="FN055 - Investimento com recursos próprios realizado pelo estado"/>
    <tableColumn id="137" xr3:uid="{8E3AEB02-1997-3043-854F-9DEE533D3933}" name="FN056 - Investimento com recursos onerosos realizado pelo estado"/>
    <tableColumn id="138" xr3:uid="{D8C59E46-A2C4-0449-891D-2649F789288A}" name="FN057 - Investimento com recursos não onerosos realizado pelo estado"/>
    <tableColumn id="139" xr3:uid="{4970E70C-CD3C-774A-8C9B-0092461AEA9A}" name="FN058 - Investimentos totais realizados pelo estado"/>
    <tableColumn id="140" xr3:uid="{0D5D124F-D022-E64F-8810-7177E1DE411D}" name="QD001 - Tipo de atendimento da portaria sobre qualidade da água"/>
    <tableColumn id="141" xr3:uid="{FCA708D1-4808-A749-8163-AB1DFC3B6765}" name="QD002 - Quantidades de paralisações no sistema de distribuição de água"/>
    <tableColumn id="142" xr3:uid="{EBF26575-8E10-444E-8320-EFED3B961FE1}" name="QD003 - Duração das paralisações"/>
    <tableColumn id="143" xr3:uid="{CB16AE0D-A197-9240-932F-79E803FF30BF}" name="QD004 - Quantidade de economias ativas atingidas por paralisações"/>
    <tableColumn id="144" xr3:uid="{7A88975A-F83D-FE40-8292-C20AB4668517}" name="QD006 - Quantidade de amostras para cloro residual (analisadas)"/>
    <tableColumn id="145" xr3:uid="{68AC5447-1E45-B140-BF73-12C8DC062440}" name="QD007 - Quantidade de amostras para cloro residual com resultados fora do padrão"/>
    <tableColumn id="146" xr3:uid="{AAFE3181-81DC-204D-BC18-7499EDF1D654}" name="QD008 - Quantidade de amostras para turbidez (analisadas)"/>
    <tableColumn id="147" xr3:uid="{30698A2C-2459-DE4C-ADC6-143AFCFFC27C}" name="QD009 - Quantidade de amostras para turbidez fora do padrão"/>
    <tableColumn id="148" xr3:uid="{83D0AEC8-2BA0-2A41-A103-4A8885E91760}" name="QD011 - Quantidades de extravasamentos de esgotos registrados"/>
    <tableColumn id="149" xr3:uid="{7245C757-F967-AF4E-8CD3-28E706005914}" name="QD012 - Duração dos extravasamentos registrados"/>
    <tableColumn id="150" xr3:uid="{1CD01585-2C0F-8144-8928-5C54C4FB1095}" name="QD015 - Quantidade de economias ativas atingidas por interrupções sistemáticas"/>
    <tableColumn id="151" xr3:uid="{1871786D-6B09-2E4C-93F5-4B0B28B9B7F8}" name="QD019 - Quantidade mínima de amostras para turbidez (obrigatórias)"/>
    <tableColumn id="152" xr3:uid="{D5B679FF-240B-B248-B97B-D862B792A37B}" name="QD020 - Quantidade mínima de amostras para cloro residual (obrigatórias)"/>
    <tableColumn id="153" xr3:uid="{47B0A8CC-9056-9C4C-A3AD-4C730A12A464}" name="QD021 - Quantidade de interrupções sistemáticas"/>
    <tableColumn id="154" xr3:uid="{E76CE539-1F83-AD4F-A972-DA5D1ED5E5E1}" name="QD022 - Duração das interrupções sistemáticas"/>
    <tableColumn id="155" xr3:uid="{7338D1EA-192F-5D43-84F8-C72187AFB6A7}" name="QD023 - Quantidade de reclamações ou solicitações de serviços"/>
    <tableColumn id="156" xr3:uid="{A17520D8-3181-F24D-A2F3-8A7746A50F4C}" name="QD024 - Quantidade de serviços executados"/>
    <tableColumn id="157" xr3:uid="{978D3997-F8DB-B647-AD89-DD5EAC3E8CDE}" name="QD025 - Tempo total de execução dos serviços"/>
    <tableColumn id="158" xr3:uid="{AECE8B6F-4408-F140-8895-B1EBA162D015}" name="QD026 - Quantidade de amostras para coliformes totais (analisadas)"/>
    <tableColumn id="159" xr3:uid="{EDD7CC53-B82F-2747-BAAF-D31B75519113}" name="QD027 - Quantidade de amostras para coliformes totais com resultados fora do padrão"/>
    <tableColumn id="160" xr3:uid="{06104016-2E77-434B-B9B4-E4C0276AC236}" name="QD028 - Quantidade mínima de amostras para coliformes totais (obrigatórias)"/>
    <tableColumn id="161" xr3:uid="{0CF97567-891B-0145-BE90-9BAC8AB553ED}" name="IN001 - Densidade de economias de água por ligação"/>
    <tableColumn id="162" xr3:uid="{11618394-750D-A14C-9199-60D67B166C33}" name="IN002 - Índice de produtividade: economias ativas por pessoal próprio"/>
    <tableColumn id="163" xr3:uid="{5F1FF151-0B45-A445-9DD8-E375F0EF2C9F}" name="IN003 - Despesa total com os serviços por m3 faturado"/>
    <tableColumn id="164" xr3:uid="{BF9698B2-B4E8-1D43-868D-88EE484EC395}" name="IN004 - Tarifa média praticada"/>
    <tableColumn id="165" xr3:uid="{267012A2-13BE-D046-A8C4-D391DB462FC7}" name="IN005 - Tarifa média de água"/>
    <tableColumn id="166" xr3:uid="{1ACDA8F8-D53A-B147-A531-BBB8DD5BE302}" name="IN006 - Tarifa média de esgoto"/>
    <tableColumn id="167" xr3:uid="{23AFF730-6732-F14E-866C-08EF9355D8BC}" name="IN007 - Incidência da desp. de pessoal e de serv. de terc. nas despesas totais com os serviços"/>
    <tableColumn id="168" xr3:uid="{29BCB47C-45BE-264C-AC9B-F22634DA6DB8}" name="IN008 - Despesa média anual por empregado" dataDxfId="0"/>
    <tableColumn id="169" xr3:uid="{69A243F8-7B56-AD4B-9FFB-9F47BF7AD352}" name="IN009 - Índice de hidrometração"/>
    <tableColumn id="170" xr3:uid="{D029967A-B84B-8146-B4B6-2CF27431ED71}" name="IN010 - Índice de micromedição relativo ao volume disponibilizado"/>
    <tableColumn id="171" xr3:uid="{4F6CCA1E-0C22-BE4B-A8AC-4941A2EB9A41}" name="IN011 - Índice de macromedição"/>
    <tableColumn id="172" xr3:uid="{0944BBE0-DAAC-664F-90C1-BAD7A228E0B3}" name="IN012 - Indicador de desempenho financeiro"/>
    <tableColumn id="173" xr3:uid="{07B0F244-321F-7444-890E-33D2BE70982F}" name="IN013 - Índice de perdas faturamento"/>
    <tableColumn id="174" xr3:uid="{DEFBC2EC-7F2A-434F-B631-E4072C2AD416}" name="IN014 - Consumo micromedido por economia"/>
    <tableColumn id="175" xr3:uid="{BA65B167-922F-4D46-81EF-2D94925491F4}" name="IN015 - Índice de coleta de esgoto"/>
    <tableColumn id="176" xr3:uid="{6749F227-A2CC-1643-9CBF-840844367A07}" name="IN016 - Índice de tratamento de esgoto"/>
    <tableColumn id="177" xr3:uid="{903B8980-4D10-5249-BDB0-F2C16639AD69}" name="IN017 - Consumo de água faturado por economia"/>
    <tableColumn id="178" xr3:uid="{BB7D5C2F-342F-E446-8960-65B084C8B857}" name="IN018 - Quantidade equivalente de pessoal total"/>
    <tableColumn id="179" xr3:uid="{4DD4BCE7-FDE5-914B-A850-223E44BA4DFD}" name="IN019 - Índice de produtividade: economias ativas por pessoal total (equivalente)"/>
    <tableColumn id="180" xr3:uid="{85C63A7E-52F7-E741-902F-381FDB7B78CD}" name="IN020 - Extensão da rede de água por ligação"/>
    <tableColumn id="181" xr3:uid="{C2A85CCB-6A73-6F44-8AFC-B9BEEC45D958}" name="IN021 - Extensão da rede de esgoto por ligação"/>
    <tableColumn id="182" xr3:uid="{35E525D0-55E5-2943-8057-DD444768926E}" name="IN022 - Consumo médio percapita de água"/>
    <tableColumn id="183" xr3:uid="{3374DADC-E2D8-1343-B8BB-4014058390FD}" name="IN023 - Índice de atendimento urbano de água"/>
    <tableColumn id="184" xr3:uid="{5A0F8D1D-062B-D247-9CBA-70C0C347B175}" name="IN024 - Índice de atendimento urbano de esgoto referido aos municípios atendidos com água"/>
    <tableColumn id="185" xr3:uid="{7494E416-17BA-C844-BE97-6BCB903C9452}" name="IN025 - Volume de água disponibilizado por economia"/>
    <tableColumn id="186" xr3:uid="{30CD2D20-92B1-DD43-BE23-CD598BA3811F}" name="IN026 - Despesa de exploração por m3 faturado"/>
    <tableColumn id="187" xr3:uid="{3B7D3A7B-EF52-FE45-A956-781883A82610}" name="IN027 - Despesa de exploração por economia"/>
    <tableColumn id="188" xr3:uid="{F351BB3B-8DA5-BB41-B96E-C9F4485019AB}" name="IN028 - Índice de faturamento de água"/>
    <tableColumn id="189" xr3:uid="{8B093977-B569-1744-8724-E837FDB18975}" name="IN029 - Índice de evasão de receitas"/>
    <tableColumn id="190" xr3:uid="{C36A2AEC-3A12-0647-9754-60C644FD2C1D}" name="IN030 - Margem da despesa de exploração"/>
    <tableColumn id="191" xr3:uid="{B9063153-F4A2-884E-8F52-397606FF69C4}" name="IN031 - Margem da despesa com pessoal próprio"/>
    <tableColumn id="192" xr3:uid="{F1FC34DB-426C-7441-842F-360424EBB7BE}" name="IN032 - Margem da despesa com pessoal total (equivalente)"/>
    <tableColumn id="193" xr3:uid="{09F6E29F-4A3B-C042-82D5-441472EEDCDD}" name="IN033 - Margem do serviço da divida"/>
    <tableColumn id="194" xr3:uid="{6E6738CE-7FBA-E748-863D-90D2AF9B262B}" name="IN034 - Margem das outras despesas de exploração"/>
    <tableColumn id="195" xr3:uid="{DEC605A8-F40E-3E43-9BFE-EA4D2A9D7408}" name="IN035 - Participação da despesa com pessoal próprio nas despesas de exploração"/>
    <tableColumn id="196" xr3:uid="{4467DD09-13CB-3649-855F-0FA448AC02E9}" name="IN036 - Participação da despesa com pessoal total (equivalente) nas despesas de exploração"/>
    <tableColumn id="197" xr3:uid="{7192B240-7B2A-B040-8031-9F9198833526}" name="IN037 - Participação da despesa com energia elétrica nas despesas de exploração"/>
    <tableColumn id="198" xr3:uid="{C2E316F1-3851-244B-A233-686782359232}" name="IN038 - Participação da despesa com produtos químicos nas despesas de exploração (DEX)"/>
    <tableColumn id="199" xr3:uid="{600B72A1-3155-3243-8FAC-0D3172BCC82F}" name="IN039 - Participação das outras despesas nas despesas de exploração"/>
    <tableColumn id="200" xr3:uid="{0AD9ECF5-CBC6-9A44-BE83-C4DF23E9642E}" name="IN040 - Participação da receita operacional direta de água na receita operacional total"/>
    <tableColumn id="201" xr3:uid="{7B5A4925-9A14-7C49-BD75-A2FB7AA572BB}" name="IN041 - Participação da receita operacional direta de esgoto na receita operacional total"/>
    <tableColumn id="202" xr3:uid="{B1D558A5-0163-FD47-876C-EFE2242BE9E5}" name="IN042 - Participação da receita operacional indireta na receita operacional total"/>
    <tableColumn id="203" xr3:uid="{2CE6D1BA-6AE1-1A4B-8F69-1D3EDCCFA513}" name="IN043 - Participação das economias residenciais de água no total das economias de água"/>
    <tableColumn id="204" xr3:uid="{A3072C97-77D4-1D47-A00C-39010BE06560}" name="IN044 - Índice de micromedição relativo ao consumo"/>
    <tableColumn id="205" xr3:uid="{E5DE8A60-E2DB-4545-8E99-80C38E076B7D}" name="IN045 - Índice de produtividade: empregados próprios por 1000 ligações de água"/>
    <tableColumn id="206" xr3:uid="{2F603B66-E05E-D246-87BF-08C704C0B339}" name="IN046 - Índice de esgoto tratado referido à água consumida"/>
    <tableColumn id="207" xr3:uid="{4406BC8E-5C16-6A46-BD18-38F51F17D803}" name="IN047 - Índice de atendimento urbano de esgoto referido aos municípios atendidos com esgoto"/>
    <tableColumn id="208" xr3:uid="{D92F2A9E-2E53-5349-9B59-9AFF4456AF6E}" name="IN048 - Índice de produtividade: empregados próprios por 1000 ligações de água + esgoto"/>
    <tableColumn id="209" xr3:uid="{516146C3-64DA-3B4C-B8AD-5494ADB14AC2}" name="IN049 - Índice de perdas na distribuição"/>
    <tableColumn id="210" xr3:uid="{F9C54467-CB7E-0644-B49E-0265320EB6E0}" name="IN050 - Índice bruto de perdas lineares"/>
    <tableColumn id="211" xr3:uid="{EB6F11A8-D05B-444D-9E22-012C745BDBE0}" name="IN051 - Índice de perdas por ligação"/>
    <tableColumn id="212" xr3:uid="{06041699-5518-8E49-A46A-71F22C8CCF62}" name="IN052 - Índice de consumo de água"/>
    <tableColumn id="213" xr3:uid="{7478E2D4-9651-654A-9483-9DD9939BEF7F}" name="IN053 - Consumo médio de água por economia"/>
    <tableColumn id="214" xr3:uid="{7C91EC8A-4F46-9642-A5E7-F99C5C807082}" name="IN054 - Dias de faturamento comprometidos com contas a receber"/>
    <tableColumn id="215" xr3:uid="{0304FEEE-2F91-5949-AC95-D16C70304414}" name="IN055 - Índice de atendimento total de água"/>
    <tableColumn id="216" xr3:uid="{0BCDDD86-0548-4D4E-8EAE-B2004B09216C}" name="IN056 - Índice de atendimento total de esgoto referido aos municípios atendidos com água"/>
    <tableColumn id="217" xr3:uid="{952EA381-8712-E54F-B2F7-8C0FECBA3C60}" name="IN057 - Índice de fluoretação de água"/>
    <tableColumn id="218" xr3:uid="{676D6582-BACB-1C4D-99CE-D233FA9E2BD6}" name="IN058 - Índice de consumo de energia elétrica em sistemas de abastecimento de água"/>
    <tableColumn id="219" xr3:uid="{648501C8-CD28-B44F-BD7E-3C76F4835FCC}" name="IN059 - Índice de consumo de energia elétrica em sistemas de esgotamento sanitário"/>
    <tableColumn id="220" xr3:uid="{FD41E597-0240-4D4E-AFC1-0276709E3D19}" name="IN060 - Índice de despesas por consumo de energia elétrica nos sistemas de água e esgotos"/>
    <tableColumn id="221" xr3:uid="{8D853969-01B5-CD4C-B6BD-341A84422C93}" name="IN071 - Economias atingidas por paralisações"/>
    <tableColumn id="222" xr3:uid="{B7C24855-9BEF-5E42-9B6F-184041A40D38}" name="IN072 - Duração média das paralisações"/>
    <tableColumn id="223" xr3:uid="{D603476E-ABFF-D04E-8890-32AFEC3EE0B8}" name="IN073 - Economias atingidas por intermitências"/>
    <tableColumn id="224" xr3:uid="{DEEDAA6E-2EE3-744A-8CF7-3E3AE1ED0A67}" name="IN074 - Duração média das intermitências"/>
    <tableColumn id="225" xr3:uid="{70B248A5-0C0D-2E45-97FC-AE58EEB6B9D3}" name="IN075 - Incidência das análises de cloro residual fora do padrão"/>
    <tableColumn id="226" xr3:uid="{B0B047F8-0D01-844B-AD7E-D3730DE2E691}" name="IN076 - Incidência das análises de turbidez fora do padrão"/>
    <tableColumn id="227" xr3:uid="{1D5F5DBC-5497-D14E-802C-818DDFB6C192}" name="IN077 - Duração média dos reparos de extravasamentos de esgotos"/>
    <tableColumn id="228" xr3:uid="{9EEF2AAC-FBB6-A347-A428-00E888E58559}" name="IN079 - Índice de conformidade da quantidade de amostras - cloro residual"/>
    <tableColumn id="229" xr3:uid="{C8416A9D-D8D3-7B49-ABC2-73EEDF058C2C}" name="IN080 - Índice de conformidade da quantidade de amostras - turbidez"/>
    <tableColumn id="230" xr3:uid="{F72F5492-3634-5949-A92F-0A58C6206DAD}" name="IN082 - Extravasamentos de esgotos por extensão de rede"/>
    <tableColumn id="231" xr3:uid="{89DFAA2B-1141-434D-BC69-64B013E5A927}" name="IN083 - Duração média dos serviços executados"/>
    <tableColumn id="232" xr3:uid="{56A73F38-B3AA-EE4F-B68A-08B81CD5EF26}" name="IN084 - Incidência das análises de coliformes totais fora do padrão"/>
    <tableColumn id="233" xr3:uid="{D05A9008-5016-2746-B6C8-478983E34465}" name="IN085 - Índice de conformidade da quantidade de amostras - coliformes totais"/>
    <tableColumn id="234" xr3:uid="{E0BC5918-92BC-404F-9105-A3DBC304AA77}" name="IN101 - Índice de suficiência de caixa"/>
    <tableColumn id="235" xr3:uid="{56BBDB3F-B9B4-9441-88D6-243F83B333D9}" name="IN102 - Índice de produtividade de pessoal total (equivalente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CE15E-F38D-6342-AA6D-3D5C5F3DD1EF}">
  <dimension ref="B1:BF258"/>
  <sheetViews>
    <sheetView showGridLines="0" tabSelected="1" view="pageBreakPreview" zoomScale="83" zoomScaleNormal="119" workbookViewId="0">
      <pane xSplit="13" ySplit="4" topLeftCell="N235" activePane="bottomRight" state="frozen"/>
      <selection activeCell="B369" sqref="B369"/>
      <selection pane="topRight" activeCell="B369" sqref="B369"/>
      <selection pane="bottomLeft" activeCell="B369" sqref="B369"/>
      <selection pane="bottomRight" activeCell="L258" sqref="B249:L258"/>
    </sheetView>
  </sheetViews>
  <sheetFormatPr baseColWidth="10" defaultColWidth="11.3984375" defaultRowHeight="14" outlineLevelCol="1" x14ac:dyDescent="0.2"/>
  <cols>
    <col min="1" max="1" width="2.19921875" customWidth="1"/>
    <col min="2" max="5" width="3" customWidth="1"/>
    <col min="6" max="6" width="56.19921875" customWidth="1"/>
    <col min="7" max="7" width="13" hidden="1" customWidth="1"/>
    <col min="8" max="8" width="11.19921875" hidden="1" customWidth="1"/>
    <col min="9" max="10" width="11.3984375" hidden="1" customWidth="1"/>
    <col min="11" max="11" width="17.19921875" style="12" customWidth="1"/>
    <col min="12" max="12" width="16.19921875" bestFit="1" customWidth="1"/>
    <col min="13" max="14" width="3" customWidth="1"/>
    <col min="15" max="27" width="11.3984375" hidden="1" customWidth="1" outlineLevel="1"/>
    <col min="28" max="28" width="13" customWidth="1" collapsed="1"/>
    <col min="29" max="57" width="13" customWidth="1"/>
    <col min="58" max="58" width="3" customWidth="1"/>
  </cols>
  <sheetData>
    <row r="1" spans="2:57" ht="5" customHeight="1" x14ac:dyDescent="0.2"/>
    <row r="2" spans="2:57" s="6" customFormat="1" x14ac:dyDescent="0.2">
      <c r="B2" s="6" t="s">
        <v>242</v>
      </c>
      <c r="K2" s="21"/>
      <c r="L2" s="22" t="s">
        <v>318</v>
      </c>
      <c r="O2" s="6">
        <v>2010</v>
      </c>
      <c r="P2" s="6">
        <f>O2+1</f>
        <v>2011</v>
      </c>
      <c r="Q2" s="6">
        <f t="shared" ref="Q2:AF3" si="0">P2+1</f>
        <v>2012</v>
      </c>
      <c r="R2" s="6">
        <f t="shared" si="0"/>
        <v>2013</v>
      </c>
      <c r="S2" s="6">
        <f t="shared" si="0"/>
        <v>2014</v>
      </c>
      <c r="T2" s="6">
        <f t="shared" si="0"/>
        <v>2015</v>
      </c>
      <c r="U2" s="6">
        <f t="shared" si="0"/>
        <v>2016</v>
      </c>
      <c r="V2" s="6">
        <f t="shared" si="0"/>
        <v>2017</v>
      </c>
      <c r="W2" s="6">
        <f t="shared" si="0"/>
        <v>2018</v>
      </c>
      <c r="X2" s="6">
        <f t="shared" si="0"/>
        <v>2019</v>
      </c>
      <c r="Y2" s="6">
        <f t="shared" si="0"/>
        <v>2020</v>
      </c>
      <c r="Z2" s="6">
        <f t="shared" si="0"/>
        <v>2021</v>
      </c>
      <c r="AA2" s="6">
        <v>2023</v>
      </c>
      <c r="AB2" s="6">
        <f t="shared" si="0"/>
        <v>2024</v>
      </c>
      <c r="AC2" s="6">
        <f t="shared" si="0"/>
        <v>2025</v>
      </c>
      <c r="AD2" s="6">
        <f t="shared" si="0"/>
        <v>2026</v>
      </c>
      <c r="AE2" s="6">
        <f t="shared" si="0"/>
        <v>2027</v>
      </c>
      <c r="AF2" s="6">
        <f t="shared" si="0"/>
        <v>2028</v>
      </c>
      <c r="AG2" s="6">
        <f t="shared" ref="AG2:AV3" si="1">AF2+1</f>
        <v>2029</v>
      </c>
      <c r="AH2" s="6">
        <f t="shared" si="1"/>
        <v>2030</v>
      </c>
      <c r="AI2" s="6">
        <f t="shared" si="1"/>
        <v>2031</v>
      </c>
      <c r="AJ2" s="6">
        <f t="shared" si="1"/>
        <v>2032</v>
      </c>
      <c r="AK2" s="6">
        <f t="shared" si="1"/>
        <v>2033</v>
      </c>
      <c r="AL2" s="6">
        <f t="shared" si="1"/>
        <v>2034</v>
      </c>
      <c r="AM2" s="6">
        <f t="shared" si="1"/>
        <v>2035</v>
      </c>
      <c r="AN2" s="6">
        <f t="shared" si="1"/>
        <v>2036</v>
      </c>
      <c r="AO2" s="6">
        <f t="shared" si="1"/>
        <v>2037</v>
      </c>
      <c r="AP2" s="6">
        <f t="shared" si="1"/>
        <v>2038</v>
      </c>
      <c r="AQ2" s="6">
        <f t="shared" si="1"/>
        <v>2039</v>
      </c>
      <c r="AR2" s="6">
        <f t="shared" si="1"/>
        <v>2040</v>
      </c>
      <c r="AS2" s="6">
        <f t="shared" si="1"/>
        <v>2041</v>
      </c>
      <c r="AT2" s="6">
        <f t="shared" si="1"/>
        <v>2042</v>
      </c>
      <c r="AU2" s="6">
        <f t="shared" si="1"/>
        <v>2043</v>
      </c>
      <c r="AV2" s="6">
        <f t="shared" si="1"/>
        <v>2044</v>
      </c>
      <c r="AW2" s="6">
        <f t="shared" ref="AW2:BE3" si="2">AV2+1</f>
        <v>2045</v>
      </c>
      <c r="AX2" s="6">
        <f t="shared" si="2"/>
        <v>2046</v>
      </c>
      <c r="AY2" s="6">
        <f t="shared" si="2"/>
        <v>2047</v>
      </c>
      <c r="AZ2" s="6">
        <f t="shared" si="2"/>
        <v>2048</v>
      </c>
      <c r="BA2" s="6">
        <f t="shared" si="2"/>
        <v>2049</v>
      </c>
      <c r="BB2" s="6">
        <f t="shared" si="2"/>
        <v>2050</v>
      </c>
      <c r="BC2" s="6">
        <f t="shared" si="2"/>
        <v>2051</v>
      </c>
      <c r="BD2" s="6">
        <f t="shared" si="2"/>
        <v>2052</v>
      </c>
      <c r="BE2" s="6">
        <f t="shared" si="2"/>
        <v>2053</v>
      </c>
    </row>
    <row r="3" spans="2:57" s="6" customFormat="1" x14ac:dyDescent="0.2">
      <c r="K3" s="21"/>
      <c r="L3" s="22" t="s">
        <v>317</v>
      </c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6">
        <f t="shared" si="0"/>
        <v>1</v>
      </c>
      <c r="AC3" s="6">
        <f t="shared" si="0"/>
        <v>2</v>
      </c>
      <c r="AD3" s="6">
        <f t="shared" si="0"/>
        <v>3</v>
      </c>
      <c r="AE3" s="6">
        <f t="shared" si="0"/>
        <v>4</v>
      </c>
      <c r="AF3" s="6">
        <f t="shared" si="0"/>
        <v>5</v>
      </c>
      <c r="AG3" s="6">
        <f t="shared" si="1"/>
        <v>6</v>
      </c>
      <c r="AH3" s="6">
        <f t="shared" si="1"/>
        <v>7</v>
      </c>
      <c r="AI3" s="6">
        <f t="shared" si="1"/>
        <v>8</v>
      </c>
      <c r="AJ3" s="6">
        <f t="shared" si="1"/>
        <v>9</v>
      </c>
      <c r="AK3" s="6">
        <f t="shared" si="1"/>
        <v>10</v>
      </c>
      <c r="AL3" s="6">
        <f t="shared" si="1"/>
        <v>11</v>
      </c>
      <c r="AM3" s="6">
        <f t="shared" si="1"/>
        <v>12</v>
      </c>
      <c r="AN3" s="6">
        <f t="shared" si="1"/>
        <v>13</v>
      </c>
      <c r="AO3" s="6">
        <f t="shared" si="1"/>
        <v>14</v>
      </c>
      <c r="AP3" s="6">
        <f t="shared" si="1"/>
        <v>15</v>
      </c>
      <c r="AQ3" s="6">
        <f t="shared" si="1"/>
        <v>16</v>
      </c>
      <c r="AR3" s="6">
        <f t="shared" si="1"/>
        <v>17</v>
      </c>
      <c r="AS3" s="6">
        <f t="shared" si="1"/>
        <v>18</v>
      </c>
      <c r="AT3" s="6">
        <f t="shared" si="1"/>
        <v>19</v>
      </c>
      <c r="AU3" s="6">
        <f t="shared" si="1"/>
        <v>20</v>
      </c>
      <c r="AV3" s="6">
        <f t="shared" si="1"/>
        <v>21</v>
      </c>
      <c r="AW3" s="6">
        <f t="shared" si="2"/>
        <v>22</v>
      </c>
      <c r="AX3" s="6">
        <f t="shared" si="2"/>
        <v>23</v>
      </c>
      <c r="AY3" s="6">
        <f t="shared" si="2"/>
        <v>24</v>
      </c>
      <c r="AZ3" s="6">
        <f t="shared" si="2"/>
        <v>25</v>
      </c>
      <c r="BA3" s="6">
        <f t="shared" si="2"/>
        <v>26</v>
      </c>
      <c r="BB3" s="6">
        <f t="shared" si="2"/>
        <v>27</v>
      </c>
      <c r="BC3" s="6">
        <f t="shared" si="2"/>
        <v>28</v>
      </c>
      <c r="BD3" s="6">
        <f t="shared" si="2"/>
        <v>29</v>
      </c>
      <c r="BE3" s="6">
        <f t="shared" si="2"/>
        <v>30</v>
      </c>
    </row>
    <row r="4" spans="2:57" ht="5" customHeight="1" x14ac:dyDescent="0.2"/>
    <row r="5" spans="2:57" ht="5" customHeight="1" x14ac:dyDescent="0.2"/>
    <row r="6" spans="2:57" s="9" customFormat="1" x14ac:dyDescent="0.2">
      <c r="B6" s="9" t="s">
        <v>349</v>
      </c>
      <c r="K6" s="25"/>
    </row>
    <row r="8" spans="2:57" x14ac:dyDescent="0.2">
      <c r="O8" s="6">
        <v>2010</v>
      </c>
      <c r="P8" s="6">
        <f>O8+1</f>
        <v>2011</v>
      </c>
      <c r="Q8" s="6">
        <f t="shared" ref="Q8" si="3">P8+1</f>
        <v>2012</v>
      </c>
      <c r="R8" s="6">
        <f t="shared" ref="R8" si="4">Q8+1</f>
        <v>2013</v>
      </c>
      <c r="S8" s="6">
        <f t="shared" ref="S8" si="5">R8+1</f>
        <v>2014</v>
      </c>
      <c r="T8" s="6">
        <f t="shared" ref="T8" si="6">S8+1</f>
        <v>2015</v>
      </c>
      <c r="U8" s="6">
        <f t="shared" ref="U8" si="7">T8+1</f>
        <v>2016</v>
      </c>
      <c r="V8" s="6">
        <f t="shared" ref="V8" si="8">U8+1</f>
        <v>2017</v>
      </c>
      <c r="W8" s="6">
        <f t="shared" ref="W8" si="9">V8+1</f>
        <v>2018</v>
      </c>
      <c r="X8" s="6">
        <f t="shared" ref="X8" si="10">W8+1</f>
        <v>2019</v>
      </c>
      <c r="Y8" s="6">
        <f t="shared" ref="Y8" si="11">X8+1</f>
        <v>2020</v>
      </c>
      <c r="Z8" s="6">
        <f t="shared" ref="Z8" si="12">Y8+1</f>
        <v>2021</v>
      </c>
      <c r="AA8">
        <v>2022</v>
      </c>
    </row>
    <row r="9" spans="2:57" x14ac:dyDescent="0.2">
      <c r="B9" t="s">
        <v>376</v>
      </c>
      <c r="O9" s="19">
        <f>SUMIFS('Séries Econômicas'!$H:$H,'Séries Econômicas'!$L:$L,DATE('Valuation (FCF) Guara'!O$8,12,1))/100</f>
        <v>5.91E-2</v>
      </c>
      <c r="P9" s="19">
        <f>SUMIFS('Séries Econômicas'!$H:$H,'Séries Econômicas'!$L:$L,DATE('Valuation (FCF) Guara'!P$8,12,1))/100</f>
        <v>6.5000000000000002E-2</v>
      </c>
      <c r="Q9" s="19">
        <f>SUMIFS('Séries Econômicas'!$H:$H,'Séries Econômicas'!$L:$L,DATE('Valuation (FCF) Guara'!Q$8,12,1))/100</f>
        <v>5.8400000000000001E-2</v>
      </c>
      <c r="R9" s="19">
        <f>SUMIFS('Séries Econômicas'!$H:$H,'Séries Econômicas'!$L:$L,DATE('Valuation (FCF) Guara'!R$8,12,1))/100</f>
        <v>5.91E-2</v>
      </c>
      <c r="S9" s="19">
        <f>SUMIFS('Séries Econômicas'!$H:$H,'Séries Econômicas'!$L:$L,DATE('Valuation (FCF) Guara'!S$8,12,1))/100</f>
        <v>6.4100000000000004E-2</v>
      </c>
      <c r="T9" s="19">
        <f>SUMIFS('Séries Econômicas'!$H:$H,'Séries Econômicas'!$L:$L,DATE('Valuation (FCF) Guara'!T$8,12,1))/100</f>
        <v>0.1067</v>
      </c>
      <c r="U9" s="19">
        <f>SUMIFS('Séries Econômicas'!$H:$H,'Séries Econômicas'!$L:$L,DATE('Valuation (FCF) Guara'!U$8,12,1))/100</f>
        <v>6.2899999999999998E-2</v>
      </c>
      <c r="V9" s="19">
        <f>SUMIFS('Séries Econômicas'!$H:$H,'Séries Econômicas'!$L:$L,DATE('Valuation (FCF) Guara'!V$8,12,1))/100</f>
        <v>2.9500000000000002E-2</v>
      </c>
      <c r="W9" s="19">
        <f>SUMIFS('Séries Econômicas'!$H:$H,'Séries Econômicas'!$L:$L,DATE('Valuation (FCF) Guara'!W$8,12,1))/100</f>
        <v>3.7499999999999999E-2</v>
      </c>
      <c r="X9" s="19">
        <f>SUMIFS('Séries Econômicas'!$H:$H,'Séries Econômicas'!$L:$L,DATE('Valuation (FCF) Guara'!X$8,12,1))/100</f>
        <v>4.3099999999999999E-2</v>
      </c>
      <c r="Y9" s="19">
        <f>SUMIFS('Séries Econômicas'!$H:$H,'Séries Econômicas'!$L:$L,DATE('Valuation (FCF) Guara'!Y$8,12,1))/100</f>
        <v>4.5199999999999997E-2</v>
      </c>
      <c r="Z9" s="19">
        <f>SUMIFS('Séries Econômicas'!$H:$H,'Séries Econômicas'!$L:$L,DATE('Valuation (FCF) Guara'!Z$8,12,1))/100</f>
        <v>0.10060000000000001</v>
      </c>
      <c r="AA9" s="19">
        <f>SUMIFS('Séries Econômicas'!$H:$H,'Séries Econômicas'!$L:$L,DATE('Valuation (FCF) Guara'!AA$8,12,1))/100</f>
        <v>5.79E-2</v>
      </c>
      <c r="AB9" s="19">
        <v>4.4999999999999998E-2</v>
      </c>
      <c r="AC9" s="19">
        <v>0.04</v>
      </c>
      <c r="AD9" s="19">
        <v>3.5000000000000003E-2</v>
      </c>
      <c r="AE9" s="12">
        <f>AD9</f>
        <v>3.5000000000000003E-2</v>
      </c>
      <c r="AF9" s="12">
        <f t="shared" ref="AF9:BE9" si="13">AE9</f>
        <v>3.5000000000000003E-2</v>
      </c>
      <c r="AG9" s="12">
        <f t="shared" si="13"/>
        <v>3.5000000000000003E-2</v>
      </c>
      <c r="AH9" s="12">
        <f t="shared" si="13"/>
        <v>3.5000000000000003E-2</v>
      </c>
      <c r="AI9" s="12">
        <f t="shared" si="13"/>
        <v>3.5000000000000003E-2</v>
      </c>
      <c r="AJ9" s="12">
        <f t="shared" si="13"/>
        <v>3.5000000000000003E-2</v>
      </c>
      <c r="AK9" s="12">
        <f t="shared" si="13"/>
        <v>3.5000000000000003E-2</v>
      </c>
      <c r="AL9" s="12">
        <f t="shared" si="13"/>
        <v>3.5000000000000003E-2</v>
      </c>
      <c r="AM9" s="12">
        <f t="shared" si="13"/>
        <v>3.5000000000000003E-2</v>
      </c>
      <c r="AN9" s="12">
        <f t="shared" si="13"/>
        <v>3.5000000000000003E-2</v>
      </c>
      <c r="AO9" s="12">
        <f t="shared" si="13"/>
        <v>3.5000000000000003E-2</v>
      </c>
      <c r="AP9" s="12">
        <f t="shared" si="13"/>
        <v>3.5000000000000003E-2</v>
      </c>
      <c r="AQ9" s="12">
        <f t="shared" si="13"/>
        <v>3.5000000000000003E-2</v>
      </c>
      <c r="AR9" s="12">
        <f t="shared" si="13"/>
        <v>3.5000000000000003E-2</v>
      </c>
      <c r="AS9" s="12">
        <f t="shared" si="13"/>
        <v>3.5000000000000003E-2</v>
      </c>
      <c r="AT9" s="12">
        <f t="shared" si="13"/>
        <v>3.5000000000000003E-2</v>
      </c>
      <c r="AU9" s="12">
        <f t="shared" si="13"/>
        <v>3.5000000000000003E-2</v>
      </c>
      <c r="AV9" s="12">
        <f t="shared" si="13"/>
        <v>3.5000000000000003E-2</v>
      </c>
      <c r="AW9" s="12">
        <f t="shared" si="13"/>
        <v>3.5000000000000003E-2</v>
      </c>
      <c r="AX9" s="12">
        <f t="shared" si="13"/>
        <v>3.5000000000000003E-2</v>
      </c>
      <c r="AY9" s="12">
        <f t="shared" si="13"/>
        <v>3.5000000000000003E-2</v>
      </c>
      <c r="AZ9" s="12">
        <f t="shared" si="13"/>
        <v>3.5000000000000003E-2</v>
      </c>
      <c r="BA9" s="12">
        <f t="shared" si="13"/>
        <v>3.5000000000000003E-2</v>
      </c>
      <c r="BB9" s="12">
        <f t="shared" si="13"/>
        <v>3.5000000000000003E-2</v>
      </c>
      <c r="BC9" s="12">
        <f t="shared" si="13"/>
        <v>3.5000000000000003E-2</v>
      </c>
      <c r="BD9" s="12">
        <f t="shared" si="13"/>
        <v>3.5000000000000003E-2</v>
      </c>
      <c r="BE9" s="12">
        <f t="shared" si="13"/>
        <v>3.5000000000000003E-2</v>
      </c>
    </row>
    <row r="10" spans="2:57" x14ac:dyDescent="0.2">
      <c r="B10" t="s">
        <v>377</v>
      </c>
      <c r="O10" s="108">
        <f t="shared" ref="O10:Z10" si="14">P10*(1+O9)</f>
        <v>2.1458139465279178</v>
      </c>
      <c r="P10" s="108">
        <f t="shared" si="14"/>
        <v>2.0260730304295325</v>
      </c>
      <c r="Q10" s="108">
        <f t="shared" si="14"/>
        <v>1.9024159910136456</v>
      </c>
      <c r="R10" s="108">
        <f t="shared" si="14"/>
        <v>1.7974451918118344</v>
      </c>
      <c r="S10" s="108">
        <f t="shared" si="14"/>
        <v>1.697143982449093</v>
      </c>
      <c r="T10" s="108">
        <f t="shared" si="14"/>
        <v>1.5949102363021266</v>
      </c>
      <c r="U10" s="108">
        <f t="shared" si="14"/>
        <v>1.4411405406181681</v>
      </c>
      <c r="V10" s="108">
        <f t="shared" si="14"/>
        <v>1.3558571273103472</v>
      </c>
      <c r="W10" s="108">
        <f t="shared" si="14"/>
        <v>1.317005466061532</v>
      </c>
      <c r="X10" s="108">
        <f t="shared" si="14"/>
        <v>1.2694028588544886</v>
      </c>
      <c r="Y10" s="108">
        <f t="shared" si="14"/>
        <v>1.2169522182479999</v>
      </c>
      <c r="Z10" s="108">
        <f t="shared" si="14"/>
        <v>1.1643247400000001</v>
      </c>
      <c r="AA10" s="108">
        <f>AB10*(1+AA9)</f>
        <v>1.0579000000000001</v>
      </c>
      <c r="AB10" s="108">
        <v>1</v>
      </c>
      <c r="AC10" s="108">
        <f>AB10*(1+AB9)</f>
        <v>1.0449999999999999</v>
      </c>
      <c r="AD10" s="108">
        <f t="shared" ref="AD10:BE10" si="15">AC10*(1+AC9)</f>
        <v>1.0868</v>
      </c>
      <c r="AE10" s="108">
        <f t="shared" si="15"/>
        <v>1.124838</v>
      </c>
      <c r="AF10" s="108">
        <f t="shared" si="15"/>
        <v>1.16420733</v>
      </c>
      <c r="AG10" s="108">
        <f t="shared" si="15"/>
        <v>1.20495458655</v>
      </c>
      <c r="AH10" s="108">
        <f t="shared" si="15"/>
        <v>1.2471279970792499</v>
      </c>
      <c r="AI10" s="108">
        <f t="shared" si="15"/>
        <v>1.2907774769770235</v>
      </c>
      <c r="AJ10" s="108">
        <f t="shared" si="15"/>
        <v>1.3359546886712192</v>
      </c>
      <c r="AK10" s="108">
        <f t="shared" si="15"/>
        <v>1.3827131027747117</v>
      </c>
      <c r="AL10" s="108">
        <f t="shared" si="15"/>
        <v>1.4311080613718266</v>
      </c>
      <c r="AM10" s="108">
        <f t="shared" si="15"/>
        <v>1.4811968435198404</v>
      </c>
      <c r="AN10" s="108">
        <f t="shared" si="15"/>
        <v>1.5330387330430346</v>
      </c>
      <c r="AO10" s="108">
        <f t="shared" si="15"/>
        <v>1.5866950886995408</v>
      </c>
      <c r="AP10" s="108">
        <f t="shared" si="15"/>
        <v>1.6422294168040246</v>
      </c>
      <c r="AQ10" s="108">
        <f t="shared" si="15"/>
        <v>1.6997074463921653</v>
      </c>
      <c r="AR10" s="108">
        <f t="shared" si="15"/>
        <v>1.759197207015891</v>
      </c>
      <c r="AS10" s="108">
        <f t="shared" si="15"/>
        <v>1.8207691092614471</v>
      </c>
      <c r="AT10" s="108">
        <f t="shared" si="15"/>
        <v>1.8844960280855976</v>
      </c>
      <c r="AU10" s="108">
        <f t="shared" si="15"/>
        <v>1.9504533890685933</v>
      </c>
      <c r="AV10" s="108">
        <f t="shared" si="15"/>
        <v>2.0187192576859938</v>
      </c>
      <c r="AW10" s="108">
        <f t="shared" si="15"/>
        <v>2.0893744317050036</v>
      </c>
      <c r="AX10" s="108">
        <f t="shared" si="15"/>
        <v>2.1625025368146784</v>
      </c>
      <c r="AY10" s="108">
        <f t="shared" si="15"/>
        <v>2.2381901256031922</v>
      </c>
      <c r="AZ10" s="108">
        <f t="shared" si="15"/>
        <v>2.3165267799993039</v>
      </c>
      <c r="BA10" s="108">
        <f t="shared" si="15"/>
        <v>2.3976052172992794</v>
      </c>
      <c r="BB10" s="108">
        <f t="shared" si="15"/>
        <v>2.4815213999047541</v>
      </c>
      <c r="BC10" s="108">
        <f t="shared" si="15"/>
        <v>2.5683746489014201</v>
      </c>
      <c r="BD10" s="108">
        <f t="shared" si="15"/>
        <v>2.6582677616129695</v>
      </c>
      <c r="BE10" s="108">
        <f t="shared" si="15"/>
        <v>2.7513071332694232</v>
      </c>
    </row>
    <row r="11" spans="2:57" x14ac:dyDescent="0.2">
      <c r="AV11" t="s">
        <v>418</v>
      </c>
    </row>
    <row r="14" spans="2:57" s="9" customFormat="1" x14ac:dyDescent="0.2">
      <c r="B14" s="9" t="s">
        <v>246</v>
      </c>
      <c r="K14" s="25"/>
    </row>
    <row r="16" spans="2:57" x14ac:dyDescent="0.2">
      <c r="B16" t="s">
        <v>243</v>
      </c>
      <c r="I16">
        <v>1</v>
      </c>
      <c r="J16">
        <v>5</v>
      </c>
      <c r="K16" s="12">
        <f>Z16</f>
        <v>0.95040000000000002</v>
      </c>
      <c r="L16" s="10">
        <v>1</v>
      </c>
      <c r="O16" s="3">
        <f>SUMIFS(Tabela1[IN055 - Índice de atendimento total de água],Tabela1[Ano de Referência],'Valuation (FCF) Guara'!O$2)/100</f>
        <v>1</v>
      </c>
      <c r="P16" s="3">
        <f>SUMIFS(Tabela1[IN055 - Índice de atendimento total de água],Tabela1[Ano de Referência],'Valuation (FCF) Guara'!P$2)/100</f>
        <v>0.96450000000000002</v>
      </c>
      <c r="Q16" s="3">
        <f>SUMIFS(Tabela1[IN055 - Índice de atendimento total de água],Tabela1[Ano de Referência],'Valuation (FCF) Guara'!Q$2)/100</f>
        <v>0.96799999999999997</v>
      </c>
      <c r="R16" s="3">
        <f>SUMIFS(Tabela1[IN055 - Índice de atendimento total de água],Tabela1[Ano de Referência],'Valuation (FCF) Guara'!R$2)/100</f>
        <v>0.96799999999999997</v>
      </c>
      <c r="S16" s="3">
        <f>SUMIFS(Tabela1[IN055 - Índice de atendimento total de água],Tabela1[Ano de Referência],'Valuation (FCF) Guara'!S$2)/100</f>
        <v>0.96799999999999997</v>
      </c>
      <c r="T16" s="3">
        <f>SUMIFS(Tabela1[IN055 - Índice de atendimento total de água],Tabela1[Ano de Referência],'Valuation (FCF) Guara'!T$2)/100</f>
        <v>0.96799999999999997</v>
      </c>
      <c r="U16" s="3">
        <f>SUMIFS(Tabela1[IN055 - Índice de atendimento total de água],Tabela1[Ano de Referência],'Valuation (FCF) Guara'!U$2)/100</f>
        <v>0.96799999999999997</v>
      </c>
      <c r="V16" s="3">
        <f>SUMIFS(Tabela1[IN055 - Índice de atendimento total de água],Tabela1[Ano de Referência],'Valuation (FCF) Guara'!V$2)/100</f>
        <v>1</v>
      </c>
      <c r="W16" s="3">
        <f>SUMIFS(Tabela1[IN055 - Índice de atendimento total de água],Tabela1[Ano de Referência],'Valuation (FCF) Guara'!W$2)/100</f>
        <v>1</v>
      </c>
      <c r="X16" s="3">
        <f>SUMIFS(Tabela1[IN055 - Índice de atendimento total de água],Tabela1[Ano de Referência],'Valuation (FCF) Guara'!X$2)/100</f>
        <v>1</v>
      </c>
      <c r="Y16" s="3">
        <f>SUMIFS(Tabela1[IN055 - Índice de atendimento total de água],Tabela1[Ano de Referência],'Valuation (FCF) Guara'!Y$2)/100</f>
        <v>0.95409999999999995</v>
      </c>
      <c r="Z16" s="3">
        <f>SUMIFS(Tabela1[IN055 - Índice de atendimento total de água],Tabela1[Ano de Referência],'Valuation (FCF) Guara'!Z$2)/100</f>
        <v>0.95040000000000002</v>
      </c>
      <c r="AA16" s="3"/>
      <c r="AB16" s="3">
        <f>IF(AND($I16&lt;AB$3,AB$3&lt;=$J16),AA16+($L16-$K16)/($J16-$I16+1),IF($I16&gt;=AB$3,$K16,$L16))</f>
        <v>0.95040000000000002</v>
      </c>
      <c r="AC16" s="3">
        <f t="shared" ref="AC16:AR17" si="16">IF(AND($I16&lt;AC$3,AC$3&lt;=$J16),AB16+($L16-$K16)/($J16-$I16+1),IF($I16&gt;=AC$3,$K16,$L16))</f>
        <v>0.96032000000000006</v>
      </c>
      <c r="AD16" s="3">
        <f t="shared" si="16"/>
        <v>0.9702400000000001</v>
      </c>
      <c r="AE16" s="3">
        <f t="shared" si="16"/>
        <v>0.98016000000000014</v>
      </c>
      <c r="AF16" s="3">
        <f t="shared" si="16"/>
        <v>0.99008000000000018</v>
      </c>
      <c r="AG16" s="3">
        <f t="shared" si="16"/>
        <v>1</v>
      </c>
      <c r="AH16" s="3">
        <f t="shared" si="16"/>
        <v>1</v>
      </c>
      <c r="AI16" s="3">
        <f t="shared" si="16"/>
        <v>1</v>
      </c>
      <c r="AJ16" s="3">
        <f t="shared" si="16"/>
        <v>1</v>
      </c>
      <c r="AK16" s="3">
        <f t="shared" si="16"/>
        <v>1</v>
      </c>
      <c r="AL16" s="3">
        <f t="shared" si="16"/>
        <v>1</v>
      </c>
      <c r="AM16" s="3">
        <f t="shared" si="16"/>
        <v>1</v>
      </c>
      <c r="AN16" s="3">
        <f t="shared" si="16"/>
        <v>1</v>
      </c>
      <c r="AO16" s="3">
        <f t="shared" si="16"/>
        <v>1</v>
      </c>
      <c r="AP16" s="3">
        <f t="shared" si="16"/>
        <v>1</v>
      </c>
      <c r="AQ16" s="3">
        <f t="shared" si="16"/>
        <v>1</v>
      </c>
      <c r="AR16" s="3">
        <f t="shared" si="16"/>
        <v>1</v>
      </c>
      <c r="AS16" s="3">
        <f t="shared" ref="AS16:BE17" si="17">IF(AND($I16&lt;AS$3,AS$3&lt;=$J16),AR16+($L16-$K16)/($J16-$I16+1),IF($I16&gt;=AS$3,$K16,$L16))</f>
        <v>1</v>
      </c>
      <c r="AT16" s="3">
        <f t="shared" si="17"/>
        <v>1</v>
      </c>
      <c r="AU16" s="3">
        <f t="shared" si="17"/>
        <v>1</v>
      </c>
      <c r="AV16" s="3">
        <f t="shared" si="17"/>
        <v>1</v>
      </c>
      <c r="AW16" s="3">
        <f t="shared" si="17"/>
        <v>1</v>
      </c>
      <c r="AX16" s="3">
        <f t="shared" si="17"/>
        <v>1</v>
      </c>
      <c r="AY16" s="3">
        <f t="shared" si="17"/>
        <v>1</v>
      </c>
      <c r="AZ16" s="3">
        <f t="shared" si="17"/>
        <v>1</v>
      </c>
      <c r="BA16" s="3">
        <f t="shared" si="17"/>
        <v>1</v>
      </c>
      <c r="BB16" s="3">
        <f t="shared" si="17"/>
        <v>1</v>
      </c>
      <c r="BC16" s="3">
        <f t="shared" si="17"/>
        <v>1</v>
      </c>
      <c r="BD16" s="3">
        <f t="shared" si="17"/>
        <v>1</v>
      </c>
      <c r="BE16" s="3">
        <f t="shared" si="17"/>
        <v>1</v>
      </c>
    </row>
    <row r="17" spans="2:58" x14ac:dyDescent="0.2">
      <c r="B17" t="s">
        <v>283</v>
      </c>
      <c r="I17">
        <v>1</v>
      </c>
      <c r="J17">
        <v>5</v>
      </c>
      <c r="K17" s="12">
        <f>Z17</f>
        <v>0.95040000000000002</v>
      </c>
      <c r="L17" s="10">
        <v>0.95</v>
      </c>
      <c r="O17" s="3">
        <f>SUMIFS(Tabela1[IN056 - Índice de atendimento total de esgoto referido aos municípios atendidos com água],Tabela1[Ano de Referência],'Valuation (FCF) Guara'!O$2)/100</f>
        <v>0.96799999999999997</v>
      </c>
      <c r="P17" s="3">
        <f>SUMIFS(Tabela1[IN056 - Índice de atendimento total de esgoto referido aos municípios atendidos com água],Tabela1[Ano de Referência],'Valuation (FCF) Guara'!P$2)/100</f>
        <v>0.96450000000000002</v>
      </c>
      <c r="Q17" s="3">
        <f>SUMIFS(Tabela1[IN056 - Índice de atendimento total de esgoto referido aos municípios atendidos com água],Tabela1[Ano de Referência],'Valuation (FCF) Guara'!Q$2)/100</f>
        <v>0.96799999999999997</v>
      </c>
      <c r="R17" s="3">
        <f>SUMIFS(Tabela1[IN056 - Índice de atendimento total de esgoto referido aos municípios atendidos com água],Tabela1[Ano de Referência],'Valuation (FCF) Guara'!R$2)/100</f>
        <v>0.96799999999999997</v>
      </c>
      <c r="S17" s="3">
        <f>SUMIFS(Tabela1[IN056 - Índice de atendimento total de esgoto referido aos municípios atendidos com água],Tabela1[Ano de Referência],'Valuation (FCF) Guara'!S$2)/100</f>
        <v>0.96799999999999997</v>
      </c>
      <c r="T17" s="3">
        <f>SUMIFS(Tabela1[IN056 - Índice de atendimento total de esgoto referido aos municípios atendidos com água],Tabela1[Ano de Referência],'Valuation (FCF) Guara'!T$2)/100</f>
        <v>0.96799999999999997</v>
      </c>
      <c r="U17" s="3">
        <f>SUMIFS(Tabela1[IN056 - Índice de atendimento total de esgoto referido aos municípios atendidos com água],Tabela1[Ano de Referência],'Valuation (FCF) Guara'!U$2)/100</f>
        <v>0.96799999999999997</v>
      </c>
      <c r="V17" s="3">
        <f>SUMIFS(Tabela1[IN056 - Índice de atendimento total de esgoto referido aos municípios atendidos com água],Tabela1[Ano de Referência],'Valuation (FCF) Guara'!V$2)/100</f>
        <v>1</v>
      </c>
      <c r="W17" s="3">
        <f>SUMIFS(Tabela1[IN056 - Índice de atendimento total de esgoto referido aos municípios atendidos com água],Tabela1[Ano de Referência],'Valuation (FCF) Guara'!W$2)/100</f>
        <v>1</v>
      </c>
      <c r="X17" s="3">
        <f>SUMIFS(Tabela1[IN056 - Índice de atendimento total de esgoto referido aos municípios atendidos com água],Tabela1[Ano de Referência],'Valuation (FCF) Guara'!X$2)/100</f>
        <v>1</v>
      </c>
      <c r="Y17" s="3">
        <f>SUMIFS(Tabela1[IN056 - Índice de atendimento total de esgoto referido aos municípios atendidos com água],Tabela1[Ano de Referência],'Valuation (FCF) Guara'!Y$2)/100</f>
        <v>0.95409999999999995</v>
      </c>
      <c r="Z17" s="3">
        <f>SUMIFS(Tabela1[IN056 - Índice de atendimento total de esgoto referido aos municípios atendidos com água],Tabela1[Ano de Referência],'Valuation (FCF) Guara'!Z$2)/100</f>
        <v>0.95040000000000002</v>
      </c>
      <c r="AA17" s="3"/>
      <c r="AB17" s="3">
        <f t="shared" ref="AB17:AQ17" si="18">IF(AND($I17&lt;AB$3,AB$3&lt;=$J17),AA17+($L17-$K17)/($J17-$I17+1),IF($I17&gt;=AB$3,$K17,$L17))</f>
        <v>0.95040000000000002</v>
      </c>
      <c r="AC17" s="3">
        <f t="shared" si="18"/>
        <v>0.95032000000000005</v>
      </c>
      <c r="AD17" s="3">
        <f t="shared" si="18"/>
        <v>0.95024000000000008</v>
      </c>
      <c r="AE17" s="3">
        <f t="shared" si="18"/>
        <v>0.95016000000000012</v>
      </c>
      <c r="AF17" s="3">
        <f t="shared" si="18"/>
        <v>0.95008000000000015</v>
      </c>
      <c r="AG17" s="3">
        <f t="shared" si="18"/>
        <v>0.95</v>
      </c>
      <c r="AH17" s="3">
        <f t="shared" si="18"/>
        <v>0.95</v>
      </c>
      <c r="AI17" s="3">
        <f t="shared" si="18"/>
        <v>0.95</v>
      </c>
      <c r="AJ17" s="3">
        <f t="shared" si="18"/>
        <v>0.95</v>
      </c>
      <c r="AK17" s="3">
        <f t="shared" si="18"/>
        <v>0.95</v>
      </c>
      <c r="AL17" s="3">
        <f t="shared" si="18"/>
        <v>0.95</v>
      </c>
      <c r="AM17" s="3">
        <f t="shared" si="18"/>
        <v>0.95</v>
      </c>
      <c r="AN17" s="3">
        <f t="shared" si="18"/>
        <v>0.95</v>
      </c>
      <c r="AO17" s="3">
        <f t="shared" si="18"/>
        <v>0.95</v>
      </c>
      <c r="AP17" s="3">
        <f t="shared" si="18"/>
        <v>0.95</v>
      </c>
      <c r="AQ17" s="3">
        <f t="shared" si="18"/>
        <v>0.95</v>
      </c>
      <c r="AR17" s="3">
        <f t="shared" si="16"/>
        <v>0.95</v>
      </c>
      <c r="AS17" s="3">
        <f t="shared" si="17"/>
        <v>0.95</v>
      </c>
      <c r="AT17" s="3">
        <f t="shared" si="17"/>
        <v>0.95</v>
      </c>
      <c r="AU17" s="3">
        <f t="shared" si="17"/>
        <v>0.95</v>
      </c>
      <c r="AV17" s="3">
        <f t="shared" si="17"/>
        <v>0.95</v>
      </c>
      <c r="AW17" s="3">
        <f t="shared" si="17"/>
        <v>0.95</v>
      </c>
      <c r="AX17" s="3">
        <f t="shared" si="17"/>
        <v>0.95</v>
      </c>
      <c r="AY17" s="3">
        <f t="shared" si="17"/>
        <v>0.95</v>
      </c>
      <c r="AZ17" s="3">
        <f t="shared" si="17"/>
        <v>0.95</v>
      </c>
      <c r="BA17" s="3">
        <f t="shared" si="17"/>
        <v>0.95</v>
      </c>
      <c r="BB17" s="3">
        <f t="shared" si="17"/>
        <v>0.95</v>
      </c>
      <c r="BC17" s="3">
        <f t="shared" si="17"/>
        <v>0.95</v>
      </c>
      <c r="BD17" s="3">
        <f t="shared" si="17"/>
        <v>0.95</v>
      </c>
      <c r="BE17" s="3">
        <f t="shared" si="17"/>
        <v>0.95</v>
      </c>
    </row>
    <row r="19" spans="2:58" x14ac:dyDescent="0.2">
      <c r="B19" t="s">
        <v>244</v>
      </c>
      <c r="I19">
        <v>1</v>
      </c>
      <c r="J19">
        <v>5</v>
      </c>
      <c r="K19" s="12">
        <f t="shared" ref="K19:K20" si="19">Z19</f>
        <v>0.99829999999999997</v>
      </c>
      <c r="L19" s="10">
        <v>1</v>
      </c>
      <c r="O19" s="3">
        <f>SUMIFS(Tabela1[IN009 - Índice de hidrometração],Tabela1[Ano de Referência],'Valuation (FCF) Guara'!O$2)/100</f>
        <v>1</v>
      </c>
      <c r="P19" s="3">
        <f>SUMIFS(Tabela1[IN009 - Índice de hidrometração],Tabela1[Ano de Referência],'Valuation (FCF) Guara'!P$2)/100</f>
        <v>1</v>
      </c>
      <c r="Q19" s="3">
        <f>SUMIFS(Tabela1[IN009 - Índice de hidrometração],Tabela1[Ano de Referência],'Valuation (FCF) Guara'!Q$2)/100</f>
        <v>1</v>
      </c>
      <c r="R19" s="3">
        <f>SUMIFS(Tabela1[IN009 - Índice de hidrometração],Tabela1[Ano de Referência],'Valuation (FCF) Guara'!R$2)/100</f>
        <v>1</v>
      </c>
      <c r="S19" s="3">
        <f>SUMIFS(Tabela1[IN009 - Índice de hidrometração],Tabela1[Ano de Referência],'Valuation (FCF) Guara'!S$2)/100</f>
        <v>0.99760000000000004</v>
      </c>
      <c r="T19" s="3">
        <f>SUMIFS(Tabela1[IN009 - Índice de hidrometração],Tabela1[Ano de Referência],'Valuation (FCF) Guara'!T$2)/100</f>
        <v>0.99549999999999994</v>
      </c>
      <c r="U19" s="3">
        <f>SUMIFS(Tabela1[IN009 - Índice de hidrometração],Tabela1[Ano de Referência],'Valuation (FCF) Guara'!U$2)/100</f>
        <v>0.99569999999999992</v>
      </c>
      <c r="V19" s="3">
        <f>SUMIFS(Tabela1[IN009 - Índice de hidrometração],Tabela1[Ano de Referência],'Valuation (FCF) Guara'!V$2)/100</f>
        <v>0.9345</v>
      </c>
      <c r="W19" s="3">
        <f>SUMIFS(Tabela1[IN009 - Índice de hidrometração],Tabela1[Ano de Referência],'Valuation (FCF) Guara'!W$2)/100</f>
        <v>0.93599999999999994</v>
      </c>
      <c r="X19" s="3">
        <f>SUMIFS(Tabela1[IN009 - Índice de hidrometração],Tabela1[Ano de Referência],'Valuation (FCF) Guara'!X$2)/100</f>
        <v>0.99760000000000004</v>
      </c>
      <c r="Y19" s="3">
        <f>SUMIFS(Tabela1[IN009 - Índice de hidrometração],Tabela1[Ano de Referência],'Valuation (FCF) Guara'!Y$2)/100</f>
        <v>0.99709999999999999</v>
      </c>
      <c r="Z19" s="3">
        <f>SUMIFS(Tabela1[IN009 - Índice de hidrometração],Tabela1[Ano de Referência],'Valuation (FCF) Guara'!Z$2)/100</f>
        <v>0.99829999999999997</v>
      </c>
      <c r="AA19" s="3"/>
      <c r="AB19" s="3">
        <f t="shared" ref="AB19:AQ20" si="20">IF(AND($I19&lt;AB$3,AB$3&lt;=$J19),AA19+($L19-$K19)/($J19-$I19+1),IF($I19&gt;=AB$3,$K19,$L19))</f>
        <v>0.99829999999999997</v>
      </c>
      <c r="AC19" s="3">
        <f t="shared" si="20"/>
        <v>0.99863999999999997</v>
      </c>
      <c r="AD19" s="3">
        <f t="shared" si="20"/>
        <v>0.99897999999999998</v>
      </c>
      <c r="AE19" s="3">
        <f t="shared" si="20"/>
        <v>0.99931999999999999</v>
      </c>
      <c r="AF19" s="3">
        <f t="shared" si="20"/>
        <v>0.99965999999999999</v>
      </c>
      <c r="AG19" s="3">
        <f t="shared" si="20"/>
        <v>1</v>
      </c>
      <c r="AH19" s="3">
        <f t="shared" si="20"/>
        <v>1</v>
      </c>
      <c r="AI19" s="3">
        <f t="shared" si="20"/>
        <v>1</v>
      </c>
      <c r="AJ19" s="3">
        <f t="shared" si="20"/>
        <v>1</v>
      </c>
      <c r="AK19" s="3">
        <f t="shared" si="20"/>
        <v>1</v>
      </c>
      <c r="AL19" s="3">
        <f t="shared" si="20"/>
        <v>1</v>
      </c>
      <c r="AM19" s="3">
        <f t="shared" si="20"/>
        <v>1</v>
      </c>
      <c r="AN19" s="3">
        <f t="shared" si="20"/>
        <v>1</v>
      </c>
      <c r="AO19" s="3">
        <f t="shared" si="20"/>
        <v>1</v>
      </c>
      <c r="AP19" s="3">
        <f t="shared" si="20"/>
        <v>1</v>
      </c>
      <c r="AQ19" s="3">
        <f t="shared" si="20"/>
        <v>1</v>
      </c>
      <c r="AR19" s="3">
        <f t="shared" ref="AR19:BE20" si="21">IF(AND($I19&lt;AR$3,AR$3&lt;=$J19),AQ19+($L19-$K19)/($J19-$I19+1),IF($I19&gt;=AR$3,$K19,$L19))</f>
        <v>1</v>
      </c>
      <c r="AS19" s="3">
        <f t="shared" si="21"/>
        <v>1</v>
      </c>
      <c r="AT19" s="3">
        <f t="shared" si="21"/>
        <v>1</v>
      </c>
      <c r="AU19" s="3">
        <f t="shared" si="21"/>
        <v>1</v>
      </c>
      <c r="AV19" s="3">
        <f t="shared" si="21"/>
        <v>1</v>
      </c>
      <c r="AW19" s="3">
        <f t="shared" si="21"/>
        <v>1</v>
      </c>
      <c r="AX19" s="3">
        <f t="shared" si="21"/>
        <v>1</v>
      </c>
      <c r="AY19" s="3">
        <f t="shared" si="21"/>
        <v>1</v>
      </c>
      <c r="AZ19" s="3">
        <f t="shared" si="21"/>
        <v>1</v>
      </c>
      <c r="BA19" s="3">
        <f t="shared" si="21"/>
        <v>1</v>
      </c>
      <c r="BB19" s="3">
        <f t="shared" si="21"/>
        <v>1</v>
      </c>
      <c r="BC19" s="3">
        <f t="shared" si="21"/>
        <v>1</v>
      </c>
      <c r="BD19" s="3">
        <f t="shared" si="21"/>
        <v>1</v>
      </c>
      <c r="BE19" s="3">
        <f t="shared" si="21"/>
        <v>1</v>
      </c>
    </row>
    <row r="20" spans="2:58" x14ac:dyDescent="0.2">
      <c r="B20" t="s">
        <v>245</v>
      </c>
      <c r="I20">
        <v>1</v>
      </c>
      <c r="J20">
        <v>5</v>
      </c>
      <c r="K20" s="12">
        <f t="shared" si="19"/>
        <v>0.44670000000000004</v>
      </c>
      <c r="L20" s="10">
        <v>0.25</v>
      </c>
      <c r="O20" s="3">
        <f>SUMIFS(Tabela1[IN049 - Índice de perdas na distribuição],Tabela1[Ano de Referência],'Valuation (FCF) Guara'!O$2)/100</f>
        <v>0.1764</v>
      </c>
      <c r="P20" s="3">
        <f>SUMIFS(Tabela1[IN049 - Índice de perdas na distribuição],Tabela1[Ano de Referência],'Valuation (FCF) Guara'!P$2)/100</f>
        <v>0.21079999999999999</v>
      </c>
      <c r="Q20" s="3">
        <f>SUMIFS(Tabela1[IN049 - Índice de perdas na distribuição],Tabela1[Ano de Referência],'Valuation (FCF) Guara'!Q$2)/100</f>
        <v>0.43149999999999999</v>
      </c>
      <c r="R20" s="3">
        <f>SUMIFS(Tabela1[IN049 - Índice de perdas na distribuição],Tabela1[Ano de Referência],'Valuation (FCF) Guara'!R$2)/100</f>
        <v>0.42700000000000005</v>
      </c>
      <c r="S20" s="3">
        <f>SUMIFS(Tabela1[IN049 - Índice de perdas na distribuição],Tabela1[Ano de Referência],'Valuation (FCF) Guara'!S$2)/100</f>
        <v>0.41509999999999997</v>
      </c>
      <c r="T20" s="3">
        <f>SUMIFS(Tabela1[IN049 - Índice de perdas na distribuição],Tabela1[Ano de Referência],'Valuation (FCF) Guara'!T$2)/100</f>
        <v>0.4425</v>
      </c>
      <c r="U20" s="3">
        <f>SUMIFS(Tabela1[IN049 - Índice de perdas na distribuição],Tabela1[Ano de Referência],'Valuation (FCF) Guara'!U$2)/100</f>
        <v>0.41909999999999997</v>
      </c>
      <c r="V20" s="3">
        <f>SUMIFS(Tabela1[IN049 - Índice de perdas na distribuição],Tabela1[Ano de Referência],'Valuation (FCF) Guara'!V$2)/100</f>
        <v>0.4</v>
      </c>
      <c r="W20" s="3">
        <f>SUMIFS(Tabela1[IN049 - Índice de perdas na distribuição],Tabela1[Ano de Referência],'Valuation (FCF) Guara'!W$2)/100</f>
        <v>0.36899999999999999</v>
      </c>
      <c r="X20" s="3">
        <f>SUMIFS(Tabela1[IN049 - Índice de perdas na distribuição],Tabela1[Ano de Referência],'Valuation (FCF) Guara'!X$2)/100</f>
        <v>0.3931</v>
      </c>
      <c r="Y20" s="3">
        <f>SUMIFS(Tabela1[IN049 - Índice de perdas na distribuição],Tabela1[Ano de Referência],'Valuation (FCF) Guara'!Y$2)/100</f>
        <v>0.41189999999999999</v>
      </c>
      <c r="Z20" s="3">
        <f>SUMIFS(Tabela1[IN049 - Índice de perdas na distribuição],Tabela1[Ano de Referência],'Valuation (FCF) Guara'!Z$2)/100</f>
        <v>0.44670000000000004</v>
      </c>
      <c r="AA20" s="3"/>
      <c r="AB20" s="3">
        <f t="shared" si="20"/>
        <v>0.44670000000000004</v>
      </c>
      <c r="AC20" s="3">
        <f t="shared" si="20"/>
        <v>0.40736000000000006</v>
      </c>
      <c r="AD20" s="3">
        <f t="shared" si="20"/>
        <v>0.36802000000000007</v>
      </c>
      <c r="AE20" s="3">
        <f t="shared" si="20"/>
        <v>0.32868000000000008</v>
      </c>
      <c r="AF20" s="3">
        <f t="shared" si="20"/>
        <v>0.2893400000000001</v>
      </c>
      <c r="AG20" s="3">
        <f t="shared" si="20"/>
        <v>0.25</v>
      </c>
      <c r="AH20" s="3">
        <f t="shared" si="20"/>
        <v>0.25</v>
      </c>
      <c r="AI20" s="3">
        <f t="shared" si="20"/>
        <v>0.25</v>
      </c>
      <c r="AJ20" s="3">
        <f t="shared" si="20"/>
        <v>0.25</v>
      </c>
      <c r="AK20" s="3">
        <f t="shared" si="20"/>
        <v>0.25</v>
      </c>
      <c r="AL20" s="3">
        <f t="shared" si="20"/>
        <v>0.25</v>
      </c>
      <c r="AM20" s="3">
        <f t="shared" si="20"/>
        <v>0.25</v>
      </c>
      <c r="AN20" s="3">
        <f t="shared" si="20"/>
        <v>0.25</v>
      </c>
      <c r="AO20" s="3">
        <f t="shared" si="20"/>
        <v>0.25</v>
      </c>
      <c r="AP20" s="3">
        <f t="shared" si="20"/>
        <v>0.25</v>
      </c>
      <c r="AQ20" s="3">
        <f t="shared" si="20"/>
        <v>0.25</v>
      </c>
      <c r="AR20" s="3">
        <f t="shared" si="21"/>
        <v>0.25</v>
      </c>
      <c r="AS20" s="3">
        <f t="shared" si="21"/>
        <v>0.25</v>
      </c>
      <c r="AT20" s="3">
        <f t="shared" si="21"/>
        <v>0.25</v>
      </c>
      <c r="AU20" s="3">
        <f t="shared" si="21"/>
        <v>0.25</v>
      </c>
      <c r="AV20" s="3">
        <f t="shared" si="21"/>
        <v>0.25</v>
      </c>
      <c r="AW20" s="3">
        <f t="shared" si="21"/>
        <v>0.25</v>
      </c>
      <c r="AX20" s="3">
        <f t="shared" si="21"/>
        <v>0.25</v>
      </c>
      <c r="AY20" s="3">
        <f t="shared" si="21"/>
        <v>0.25</v>
      </c>
      <c r="AZ20" s="3">
        <f t="shared" si="21"/>
        <v>0.25</v>
      </c>
      <c r="BA20" s="3">
        <f t="shared" si="21"/>
        <v>0.25</v>
      </c>
      <c r="BB20" s="3">
        <f t="shared" si="21"/>
        <v>0.25</v>
      </c>
      <c r="BC20" s="3">
        <f t="shared" si="21"/>
        <v>0.25</v>
      </c>
      <c r="BD20" s="3">
        <f t="shared" si="21"/>
        <v>0.25</v>
      </c>
      <c r="BE20" s="3">
        <f t="shared" si="21"/>
        <v>0.25</v>
      </c>
    </row>
    <row r="22" spans="2:58" s="9" customFormat="1" x14ac:dyDescent="0.2">
      <c r="B22" s="9" t="s">
        <v>248</v>
      </c>
      <c r="K22" s="25"/>
    </row>
    <row r="24" spans="2:58" x14ac:dyDescent="0.2">
      <c r="B24" t="s">
        <v>285</v>
      </c>
      <c r="I24">
        <v>1</v>
      </c>
      <c r="J24">
        <v>30</v>
      </c>
      <c r="K24" s="12">
        <f t="shared" ref="K24" si="22">Z24</f>
        <v>4.036042800825923E-3</v>
      </c>
      <c r="L24" s="10">
        <v>0</v>
      </c>
      <c r="O24" s="3">
        <v>0</v>
      </c>
      <c r="P24" s="11">
        <f t="shared" ref="P24:Z24" si="23">P27/O27-1</f>
        <v>3.6761003122167679E-3</v>
      </c>
      <c r="Q24" s="11">
        <f t="shared" si="23"/>
        <v>3.5121168029701444E-3</v>
      </c>
      <c r="R24" s="11">
        <f t="shared" si="23"/>
        <v>3.6598170091495463E-2</v>
      </c>
      <c r="S24" s="11">
        <f t="shared" si="23"/>
        <v>4.3409058023440306E-3</v>
      </c>
      <c r="T24" s="11">
        <f t="shared" si="23"/>
        <v>4.2260961436872968E-3</v>
      </c>
      <c r="U24" s="11">
        <f t="shared" si="23"/>
        <v>4.1126679737937266E-3</v>
      </c>
      <c r="V24" s="11">
        <f t="shared" si="23"/>
        <v>4.0005715102158224E-3</v>
      </c>
      <c r="W24" s="11">
        <f t="shared" si="23"/>
        <v>2.2769318343531797E-3</v>
      </c>
      <c r="X24" s="11">
        <f t="shared" si="23"/>
        <v>4.3068768043921235E-3</v>
      </c>
      <c r="Y24" s="11">
        <f t="shared" si="23"/>
        <v>4.1470311027331785E-3</v>
      </c>
      <c r="Z24" s="11">
        <f t="shared" si="23"/>
        <v>4.036042800825923E-3</v>
      </c>
      <c r="AA24" s="3"/>
      <c r="AB24" s="11">
        <f t="shared" ref="AB24:BE24" si="24">IF(AND($I24&lt;AB$3,AB$3&lt;=$J24),AA24+($L24-$K24)/($J24-$I24+1),IF($I24&gt;=AB$3,$K24,$L24))</f>
        <v>4.036042800825923E-3</v>
      </c>
      <c r="AC24" s="11">
        <f t="shared" si="24"/>
        <v>3.9015080407983922E-3</v>
      </c>
      <c r="AD24" s="11">
        <f t="shared" si="24"/>
        <v>3.7669732807708613E-3</v>
      </c>
      <c r="AE24" s="11">
        <f t="shared" si="24"/>
        <v>3.6324385207433304E-3</v>
      </c>
      <c r="AF24" s="11">
        <f t="shared" si="24"/>
        <v>3.4979037607157995E-3</v>
      </c>
      <c r="AG24" s="11">
        <f t="shared" si="24"/>
        <v>3.3633690006882686E-3</v>
      </c>
      <c r="AH24" s="11">
        <f t="shared" si="24"/>
        <v>3.2288342406607377E-3</v>
      </c>
      <c r="AI24" s="11">
        <f t="shared" si="24"/>
        <v>3.0942994806332069E-3</v>
      </c>
      <c r="AJ24" s="11">
        <f t="shared" si="24"/>
        <v>2.959764720605676E-3</v>
      </c>
      <c r="AK24" s="11">
        <f t="shared" si="24"/>
        <v>2.8252299605781451E-3</v>
      </c>
      <c r="AL24" s="11">
        <f t="shared" si="24"/>
        <v>2.6906952005506142E-3</v>
      </c>
      <c r="AM24" s="11">
        <f t="shared" si="24"/>
        <v>2.5561604405230833E-3</v>
      </c>
      <c r="AN24" s="11">
        <f t="shared" si="24"/>
        <v>2.4216256804955524E-3</v>
      </c>
      <c r="AO24" s="11">
        <f t="shared" si="24"/>
        <v>2.2870909204680216E-3</v>
      </c>
      <c r="AP24" s="11">
        <f t="shared" si="24"/>
        <v>2.1525561604404907E-3</v>
      </c>
      <c r="AQ24" s="11">
        <f t="shared" si="24"/>
        <v>2.0180214004129598E-3</v>
      </c>
      <c r="AR24" s="11">
        <f t="shared" si="24"/>
        <v>1.8834866403854289E-3</v>
      </c>
      <c r="AS24" s="11">
        <f t="shared" si="24"/>
        <v>1.748951880357898E-3</v>
      </c>
      <c r="AT24" s="11">
        <f t="shared" si="24"/>
        <v>1.6144171203303671E-3</v>
      </c>
      <c r="AU24" s="11">
        <f t="shared" si="24"/>
        <v>1.4798823603028362E-3</v>
      </c>
      <c r="AV24" s="11">
        <f t="shared" si="24"/>
        <v>1.3453476002753054E-3</v>
      </c>
      <c r="AW24" s="11">
        <f t="shared" si="24"/>
        <v>1.2108128402477745E-3</v>
      </c>
      <c r="AX24" s="11">
        <f t="shared" si="24"/>
        <v>1.0762780802202436E-3</v>
      </c>
      <c r="AY24" s="11">
        <f t="shared" si="24"/>
        <v>9.4174332019271282E-4</v>
      </c>
      <c r="AZ24" s="11">
        <f t="shared" si="24"/>
        <v>8.0720856016518205E-4</v>
      </c>
      <c r="BA24" s="11">
        <f t="shared" si="24"/>
        <v>6.7267380013765127E-4</v>
      </c>
      <c r="BB24" s="11">
        <f t="shared" si="24"/>
        <v>5.381390401101205E-4</v>
      </c>
      <c r="BC24" s="11">
        <f t="shared" si="24"/>
        <v>4.0360428008258972E-4</v>
      </c>
      <c r="BD24" s="11">
        <f t="shared" si="24"/>
        <v>2.6906952005505895E-4</v>
      </c>
      <c r="BE24" s="11">
        <f t="shared" si="24"/>
        <v>1.3453476002752817E-4</v>
      </c>
    </row>
    <row r="25" spans="2:58" x14ac:dyDescent="0.2">
      <c r="B25" t="s">
        <v>286</v>
      </c>
      <c r="L25" s="10"/>
      <c r="O25" s="3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3"/>
      <c r="AB25" s="13">
        <f>(1+AB24)</f>
        <v>1.0040360428008259</v>
      </c>
      <c r="AC25" s="13">
        <f t="shared" ref="AC25:BE25" si="25">AB25*(1+AC24)</f>
        <v>1.0079532974950649</v>
      </c>
      <c r="AD25" s="13">
        <f t="shared" si="25"/>
        <v>1.0117502306349937</v>
      </c>
      <c r="AE25" s="13">
        <f t="shared" si="25"/>
        <v>1.0154253511461233</v>
      </c>
      <c r="AF25" s="13">
        <f t="shared" si="25"/>
        <v>1.0189772113006237</v>
      </c>
      <c r="AG25" s="13">
        <f t="shared" si="25"/>
        <v>1.0224044076655199</v>
      </c>
      <c r="AH25" s="13">
        <f t="shared" si="25"/>
        <v>1.0257055820247929</v>
      </c>
      <c r="AI25" s="13">
        <f t="shared" si="25"/>
        <v>1.0288794222745348</v>
      </c>
      <c r="AJ25" s="13">
        <f t="shared" si="25"/>
        <v>1.03192466329034</v>
      </c>
      <c r="AK25" s="13">
        <f t="shared" si="25"/>
        <v>1.0348400877661275</v>
      </c>
      <c r="AL25" s="13">
        <f t="shared" si="25"/>
        <v>1.0376245270236171</v>
      </c>
      <c r="AM25" s="13">
        <f t="shared" si="25"/>
        <v>1.0402768617917113</v>
      </c>
      <c r="AN25" s="13">
        <f t="shared" si="25"/>
        <v>1.0427960229550515</v>
      </c>
      <c r="AO25" s="13">
        <f t="shared" si="25"/>
        <v>1.045180992271052</v>
      </c>
      <c r="AP25" s="13">
        <f t="shared" si="25"/>
        <v>1.0474308030547403</v>
      </c>
      <c r="AQ25" s="13">
        <f t="shared" si="25"/>
        <v>1.0495445408307564</v>
      </c>
      <c r="AR25" s="13">
        <f t="shared" si="25"/>
        <v>1.0515213439519007</v>
      </c>
      <c r="AS25" s="13">
        <f t="shared" si="25"/>
        <v>1.053360404183642</v>
      </c>
      <c r="AT25" s="13">
        <f t="shared" si="25"/>
        <v>1.0550609672540341</v>
      </c>
      <c r="AU25" s="13">
        <f t="shared" si="25"/>
        <v>1.0566223333685174</v>
      </c>
      <c r="AV25" s="13">
        <f t="shared" si="25"/>
        <v>1.058043857689112</v>
      </c>
      <c r="AW25" s="13">
        <f t="shared" si="25"/>
        <v>1.0593249507775473</v>
      </c>
      <c r="AX25" s="13">
        <f t="shared" si="25"/>
        <v>1.0604650790018997</v>
      </c>
      <c r="AY25" s="13">
        <f t="shared" si="25"/>
        <v>1.0614637649063474</v>
      </c>
      <c r="AZ25" s="13">
        <f t="shared" si="25"/>
        <v>1.062320587543685</v>
      </c>
      <c r="BA25" s="13">
        <f t="shared" si="25"/>
        <v>1.0630351827702724</v>
      </c>
      <c r="BB25" s="13">
        <f t="shared" si="25"/>
        <v>1.0636072435031316</v>
      </c>
      <c r="BC25" s="13">
        <f t="shared" si="25"/>
        <v>1.0640365199389363</v>
      </c>
      <c r="BD25" s="13">
        <f t="shared" si="25"/>
        <v>1.0643228197346775</v>
      </c>
      <c r="BE25" s="13">
        <f t="shared" si="25"/>
        <v>1.0644660081498223</v>
      </c>
    </row>
    <row r="27" spans="2:58" x14ac:dyDescent="0.2">
      <c r="B27" t="s">
        <v>247</v>
      </c>
      <c r="O27" s="5">
        <f>SUMIFS(Tabela1[POP_TOT - População total do município do ano de referência (Fonte: IBGE):],Tabela1[Ano de Referência],'Valuation (FCF) Guara'!O$2)</f>
        <v>19858</v>
      </c>
      <c r="P27" s="5">
        <f>SUMIFS(Tabela1[POP_TOT - População total do município do ano de referência (Fonte: IBGE):],Tabela1[Ano de Referência],'Valuation (FCF) Guara'!P$2)</f>
        <v>19931</v>
      </c>
      <c r="Q27" s="5">
        <f>SUMIFS(Tabela1[POP_TOT - População total do município do ano de referência (Fonte: IBGE):],Tabela1[Ano de Referência],'Valuation (FCF) Guara'!Q$2)</f>
        <v>20001</v>
      </c>
      <c r="R27" s="5">
        <f>SUMIFS(Tabela1[POP_TOT - População total do município do ano de referência (Fonte: IBGE):],Tabela1[Ano de Referência],'Valuation (FCF) Guara'!R$2)</f>
        <v>20733</v>
      </c>
      <c r="S27" s="5">
        <f>SUMIFS(Tabela1[POP_TOT - População total do município do ano de referência (Fonte: IBGE):],Tabela1[Ano de Referência],'Valuation (FCF) Guara'!S$2)</f>
        <v>20823</v>
      </c>
      <c r="T27" s="5">
        <f>SUMIFS(Tabela1[POP_TOT - População total do município do ano de referência (Fonte: IBGE):],Tabela1[Ano de Referência],'Valuation (FCF) Guara'!T$2)</f>
        <v>20911</v>
      </c>
      <c r="U27" s="5">
        <f>SUMIFS(Tabela1[POP_TOT - População total do município do ano de referência (Fonte: IBGE):],Tabela1[Ano de Referência],'Valuation (FCF) Guara'!U$2)</f>
        <v>20997</v>
      </c>
      <c r="V27" s="5">
        <f>SUMIFS(Tabela1[POP_TOT - População total do município do ano de referência (Fonte: IBGE):],Tabela1[Ano de Referência],'Valuation (FCF) Guara'!V$2)</f>
        <v>21081</v>
      </c>
      <c r="W27" s="5">
        <f>SUMIFS(Tabela1[POP_TOT - População total do município do ano de referência (Fonte: IBGE):],Tabela1[Ano de Referência],'Valuation (FCF) Guara'!W$2)</f>
        <v>21129</v>
      </c>
      <c r="X27" s="5">
        <f>SUMIFS(Tabela1[POP_TOT - População total do município do ano de referência (Fonte: IBGE):],Tabela1[Ano de Referência],'Valuation (FCF) Guara'!X$2)</f>
        <v>21220</v>
      </c>
      <c r="Y27" s="5">
        <f>SUMIFS(Tabela1[POP_TOT - População total do município do ano de referência (Fonte: IBGE):],Tabela1[Ano de Referência],'Valuation (FCF) Guara'!Y$2)</f>
        <v>21308</v>
      </c>
      <c r="Z27" s="5">
        <f>SUMIFS(Tabela1[POP_TOT - População total do município do ano de referência (Fonte: IBGE):],Tabela1[Ano de Referência],'Valuation (FCF) Guara'!Z$2)</f>
        <v>21394</v>
      </c>
      <c r="AA27" s="5"/>
      <c r="AB27" s="5">
        <f>Z27</f>
        <v>21394</v>
      </c>
      <c r="AC27" s="5">
        <f>$AB27*AC25</f>
        <v>21564.152846609417</v>
      </c>
      <c r="AD27" s="5">
        <f t="shared" ref="AD27:BE27" si="26">$AB27*AD25</f>
        <v>21645.384434205054</v>
      </c>
      <c r="AE27" s="5">
        <f t="shared" si="26"/>
        <v>21724.009962420161</v>
      </c>
      <c r="AF27" s="5">
        <f t="shared" si="26"/>
        <v>21799.998458565544</v>
      </c>
      <c r="AG27" s="5">
        <f t="shared" si="26"/>
        <v>21873.319897596131</v>
      </c>
      <c r="AH27" s="5">
        <f t="shared" si="26"/>
        <v>21943.945221838418</v>
      </c>
      <c r="AI27" s="5">
        <f t="shared" si="26"/>
        <v>22011.846360141397</v>
      </c>
      <c r="AJ27" s="5">
        <f t="shared" si="26"/>
        <v>22076.996246433537</v>
      </c>
      <c r="AK27" s="5">
        <f t="shared" si="26"/>
        <v>22139.368837668531</v>
      </c>
      <c r="AL27" s="5">
        <f t="shared" si="26"/>
        <v>22198.939131143263</v>
      </c>
      <c r="AM27" s="5">
        <f t="shared" si="26"/>
        <v>22255.683181171873</v>
      </c>
      <c r="AN27" s="5">
        <f t="shared" ref="AN27" si="27">$AB27*AN25</f>
        <v>22309.578115100372</v>
      </c>
      <c r="AO27" s="5">
        <f t="shared" si="26"/>
        <v>22360.602148646885</v>
      </c>
      <c r="AP27" s="5">
        <f t="shared" si="26"/>
        <v>22408.734600553114</v>
      </c>
      <c r="AQ27" s="5">
        <f t="shared" si="26"/>
        <v>22453.955906533203</v>
      </c>
      <c r="AR27" s="5">
        <f t="shared" si="26"/>
        <v>22496.247632506962</v>
      </c>
      <c r="AS27" s="5">
        <f t="shared" si="26"/>
        <v>22535.592487104837</v>
      </c>
      <c r="AT27" s="5">
        <f t="shared" si="26"/>
        <v>22571.974333432805</v>
      </c>
      <c r="AU27" s="5">
        <f t="shared" si="26"/>
        <v>22605.378200086063</v>
      </c>
      <c r="AV27" s="5">
        <f t="shared" si="26"/>
        <v>22635.790291400863</v>
      </c>
      <c r="AW27" s="5">
        <f t="shared" si="26"/>
        <v>22663.197996934847</v>
      </c>
      <c r="AX27" s="5">
        <f t="shared" si="26"/>
        <v>22687.58990016664</v>
      </c>
      <c r="AY27" s="5">
        <f t="shared" si="26"/>
        <v>22708.955786406397</v>
      </c>
      <c r="AZ27" s="5">
        <f t="shared" si="26"/>
        <v>22727.286649909594</v>
      </c>
      <c r="BA27" s="5">
        <f t="shared" si="26"/>
        <v>22742.574700187208</v>
      </c>
      <c r="BB27" s="5">
        <f t="shared" si="26"/>
        <v>22754.813367505998</v>
      </c>
      <c r="BC27" s="5">
        <f t="shared" si="26"/>
        <v>22763.997307573605</v>
      </c>
      <c r="BD27" s="5">
        <f t="shared" si="26"/>
        <v>22770.12240540369</v>
      </c>
      <c r="BE27" s="5">
        <f t="shared" si="26"/>
        <v>22773.1857783573</v>
      </c>
      <c r="BF27" s="5"/>
    </row>
    <row r="28" spans="2:58" x14ac:dyDescent="0.2">
      <c r="B28" t="s">
        <v>249</v>
      </c>
      <c r="O28" s="5">
        <f>SUMIFS(Tabela1[POP_URB - População urbana do município do ano de referência (Fonte: IBGE):],Tabela1[Ano de Referência],'Valuation (FCF) Guara'!O$2)</f>
        <v>19223</v>
      </c>
      <c r="P28" s="5">
        <f>SUMIFS(Tabela1[POP_URB - População urbana do município do ano de referência (Fonte: IBGE):],Tabela1[Ano de Referência],'Valuation (FCF) Guara'!P$2)</f>
        <v>19294</v>
      </c>
      <c r="Q28" s="5">
        <f>SUMIFS(Tabela1[POP_URB - População urbana do município do ano de referência (Fonte: IBGE):],Tabela1[Ano de Referência],'Valuation (FCF) Guara'!Q$2)</f>
        <v>19361</v>
      </c>
      <c r="R28" s="5">
        <f>SUMIFS(Tabela1[POP_URB - População urbana do município do ano de referência (Fonte: IBGE):],Tabela1[Ano de Referência],'Valuation (FCF) Guara'!R$2)</f>
        <v>20070</v>
      </c>
      <c r="S28" s="5">
        <f>SUMIFS(Tabela1[POP_URB - População urbana do município do ano de referência (Fonte: IBGE):],Tabela1[Ano de Referência],'Valuation (FCF) Guara'!S$2)</f>
        <v>20157</v>
      </c>
      <c r="T28" s="5">
        <f>SUMIFS(Tabela1[POP_URB - População urbana do município do ano de referência (Fonte: IBGE):],Tabela1[Ano de Referência],'Valuation (FCF) Guara'!T$2)</f>
        <v>20242</v>
      </c>
      <c r="U28" s="5">
        <f>SUMIFS(Tabela1[POP_URB - População urbana do município do ano de referência (Fonte: IBGE):],Tabela1[Ano de Referência],'Valuation (FCF) Guara'!U$2)</f>
        <v>20326</v>
      </c>
      <c r="V28" s="5">
        <f>SUMIFS(Tabela1[POP_URB - População urbana do município do ano de referência (Fonte: IBGE):],Tabela1[Ano de Referência],'Valuation (FCF) Guara'!V$2)</f>
        <v>20407</v>
      </c>
      <c r="W28" s="5">
        <f>SUMIFS(Tabela1[POP_URB - População urbana do município do ano de referência (Fonte: IBGE):],Tabela1[Ano de Referência],'Valuation (FCF) Guara'!W$2)</f>
        <v>20453</v>
      </c>
      <c r="X28" s="5">
        <f>SUMIFS(Tabela1[POP_URB - População urbana do município do ano de referência (Fonte: IBGE):],Tabela1[Ano de Referência],'Valuation (FCF) Guara'!X$2)</f>
        <v>20541</v>
      </c>
      <c r="Y28" s="5">
        <f>SUMIFS(Tabela1[POP_URB - População urbana do município do ano de referência (Fonte: IBGE):],Tabela1[Ano de Referência],'Valuation (FCF) Guara'!Y$2)</f>
        <v>20627</v>
      </c>
      <c r="Z28" s="5">
        <f>SUMIFS(Tabela1[POP_URB - População urbana do município do ano de referência (Fonte: IBGE):],Tabela1[Ano de Referência],'Valuation (FCF) Guara'!Z$2)</f>
        <v>20710</v>
      </c>
      <c r="AA28" s="5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</row>
    <row r="29" spans="2:58" x14ac:dyDescent="0.2">
      <c r="B29" t="s">
        <v>250</v>
      </c>
      <c r="O29" s="1">
        <f>O27-O28</f>
        <v>635</v>
      </c>
      <c r="P29" s="1">
        <f t="shared" ref="P29:Z29" si="28">P27-P28</f>
        <v>637</v>
      </c>
      <c r="Q29" s="1">
        <f t="shared" si="28"/>
        <v>640</v>
      </c>
      <c r="R29" s="1">
        <f t="shared" si="28"/>
        <v>663</v>
      </c>
      <c r="S29" s="1">
        <f t="shared" si="28"/>
        <v>666</v>
      </c>
      <c r="T29" s="1">
        <f t="shared" si="28"/>
        <v>669</v>
      </c>
      <c r="U29" s="1">
        <f t="shared" si="28"/>
        <v>671</v>
      </c>
      <c r="V29" s="1">
        <f t="shared" si="28"/>
        <v>674</v>
      </c>
      <c r="W29" s="1">
        <f t="shared" si="28"/>
        <v>676</v>
      </c>
      <c r="X29" s="1">
        <f t="shared" si="28"/>
        <v>679</v>
      </c>
      <c r="Y29" s="1">
        <f t="shared" si="28"/>
        <v>681</v>
      </c>
      <c r="Z29" s="1">
        <f t="shared" si="28"/>
        <v>684</v>
      </c>
      <c r="AA29" s="1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</row>
    <row r="31" spans="2:58" s="9" customFormat="1" x14ac:dyDescent="0.2">
      <c r="B31" s="9" t="s">
        <v>254</v>
      </c>
      <c r="K31" s="25"/>
    </row>
    <row r="33" spans="2:57" x14ac:dyDescent="0.2">
      <c r="B33" t="s">
        <v>247</v>
      </c>
      <c r="O33" s="5">
        <f>SUMIFS(Tabela1[AG001 - População total atendida com abastecimento de água],Tabela1[Ano de Referência],'Valuation (FCF) Guara'!O$2)</f>
        <v>19858</v>
      </c>
      <c r="P33" s="5">
        <f>SUMIFS(Tabela1[AG001 - População total atendida com abastecimento de água],Tabela1[Ano de Referência],'Valuation (FCF) Guara'!P$2)</f>
        <v>19223</v>
      </c>
      <c r="Q33" s="5">
        <f>SUMIFS(Tabela1[AG001 - População total atendida com abastecimento de água],Tabela1[Ano de Referência],'Valuation (FCF) Guara'!Q$2)</f>
        <v>19361</v>
      </c>
      <c r="R33" s="5">
        <f>SUMIFS(Tabela1[AG001 - População total atendida com abastecimento de água],Tabela1[Ano de Referência],'Valuation (FCF) Guara'!R$2)</f>
        <v>20070</v>
      </c>
      <c r="S33" s="5">
        <f>SUMIFS(Tabela1[AG001 - População total atendida com abastecimento de água],Tabela1[Ano de Referência],'Valuation (FCF) Guara'!S$2)</f>
        <v>20157</v>
      </c>
      <c r="T33" s="5">
        <f>SUMIFS(Tabela1[AG001 - População total atendida com abastecimento de água],Tabela1[Ano de Referência],'Valuation (FCF) Guara'!T$2)</f>
        <v>20242</v>
      </c>
      <c r="U33" s="5">
        <f>SUMIFS(Tabela1[AG001 - População total atendida com abastecimento de água],Tabela1[Ano de Referência],'Valuation (FCF) Guara'!U$2)</f>
        <v>20326</v>
      </c>
      <c r="V33" s="5">
        <f>SUMIFS(Tabela1[AG001 - População total atendida com abastecimento de água],Tabela1[Ano de Referência],'Valuation (FCF) Guara'!V$2)</f>
        <v>21081</v>
      </c>
      <c r="W33" s="5">
        <f>SUMIFS(Tabela1[AG001 - População total atendida com abastecimento de água],Tabela1[Ano de Referência],'Valuation (FCF) Guara'!W$2)</f>
        <v>21129</v>
      </c>
      <c r="X33" s="5">
        <f>SUMIFS(Tabela1[AG001 - População total atendida com abastecimento de água],Tabela1[Ano de Referência],'Valuation (FCF) Guara'!X$2)</f>
        <v>21220</v>
      </c>
      <c r="Y33" s="5">
        <f>SUMIFS(Tabela1[AG001 - População total atendida com abastecimento de água],Tabela1[Ano de Referência],'Valuation (FCF) Guara'!Y$2)</f>
        <v>20329</v>
      </c>
      <c r="Z33" s="5">
        <f>SUMIFS(Tabela1[AG001 - População total atendida com abastecimento de água],Tabela1[Ano de Referência],'Valuation (FCF) Guara'!Z$2)</f>
        <v>20332</v>
      </c>
      <c r="AA33" s="5"/>
      <c r="AB33" s="5">
        <f>AB27*AB16</f>
        <v>20332.857599999999</v>
      </c>
      <c r="AC33" s="5">
        <f t="shared" ref="AC33:BE33" si="29">AC27*AC16</f>
        <v>20708.487261655955</v>
      </c>
      <c r="AD33" s="5">
        <f t="shared" si="29"/>
        <v>21001.217793443113</v>
      </c>
      <c r="AE33" s="5">
        <f t="shared" si="29"/>
        <v>21293.005604765749</v>
      </c>
      <c r="AF33" s="5">
        <f t="shared" si="29"/>
        <v>21583.742473856579</v>
      </c>
      <c r="AG33" s="5">
        <f t="shared" si="29"/>
        <v>21873.319897596131</v>
      </c>
      <c r="AH33" s="5">
        <f t="shared" si="29"/>
        <v>21943.945221838418</v>
      </c>
      <c r="AI33" s="5">
        <f t="shared" si="29"/>
        <v>22011.846360141397</v>
      </c>
      <c r="AJ33" s="5">
        <f t="shared" si="29"/>
        <v>22076.996246433537</v>
      </c>
      <c r="AK33" s="5">
        <f t="shared" si="29"/>
        <v>22139.368837668531</v>
      </c>
      <c r="AL33" s="5">
        <f t="shared" si="29"/>
        <v>22198.939131143263</v>
      </c>
      <c r="AM33" s="5">
        <f t="shared" si="29"/>
        <v>22255.683181171873</v>
      </c>
      <c r="AN33" s="5">
        <f t="shared" ref="AN33" si="30">AN27*AN16</f>
        <v>22309.578115100372</v>
      </c>
      <c r="AO33" s="5">
        <f t="shared" si="29"/>
        <v>22360.602148646885</v>
      </c>
      <c r="AP33" s="5">
        <f t="shared" si="29"/>
        <v>22408.734600553114</v>
      </c>
      <c r="AQ33" s="5">
        <f t="shared" si="29"/>
        <v>22453.955906533203</v>
      </c>
      <c r="AR33" s="5">
        <f t="shared" si="29"/>
        <v>22496.247632506962</v>
      </c>
      <c r="AS33" s="5">
        <f t="shared" si="29"/>
        <v>22535.592487104837</v>
      </c>
      <c r="AT33" s="5">
        <f t="shared" si="29"/>
        <v>22571.974333432805</v>
      </c>
      <c r="AU33" s="5">
        <f t="shared" si="29"/>
        <v>22605.378200086063</v>
      </c>
      <c r="AV33" s="5">
        <f t="shared" si="29"/>
        <v>22635.790291400863</v>
      </c>
      <c r="AW33" s="5">
        <f t="shared" si="29"/>
        <v>22663.197996934847</v>
      </c>
      <c r="AX33" s="5">
        <f t="shared" si="29"/>
        <v>22687.58990016664</v>
      </c>
      <c r="AY33" s="5">
        <f t="shared" si="29"/>
        <v>22708.955786406397</v>
      </c>
      <c r="AZ33" s="5">
        <f t="shared" si="29"/>
        <v>22727.286649909594</v>
      </c>
      <c r="BA33" s="5">
        <f t="shared" si="29"/>
        <v>22742.574700187208</v>
      </c>
      <c r="BB33" s="5">
        <f t="shared" si="29"/>
        <v>22754.813367505998</v>
      </c>
      <c r="BC33" s="5">
        <f t="shared" si="29"/>
        <v>22763.997307573605</v>
      </c>
      <c r="BD33" s="5">
        <f t="shared" si="29"/>
        <v>22770.12240540369</v>
      </c>
      <c r="BE33" s="5">
        <f t="shared" si="29"/>
        <v>22773.1857783573</v>
      </c>
    </row>
    <row r="34" spans="2:57" x14ac:dyDescent="0.2">
      <c r="B34" t="s">
        <v>249</v>
      </c>
      <c r="J34" s="12"/>
      <c r="O34" s="5">
        <f>SUMIFS(Tabela1[AG026 - População urbana atendida com abastecimento de água],Tabela1[Ano de Referência],'Valuation (FCF) Guara'!O$2)</f>
        <v>19223</v>
      </c>
      <c r="P34" s="5">
        <f>SUMIFS(Tabela1[AG026 - População urbana atendida com abastecimento de água],Tabela1[Ano de Referência],'Valuation (FCF) Guara'!P$2)</f>
        <v>19223</v>
      </c>
      <c r="Q34" s="5">
        <f>SUMIFS(Tabela1[AG026 - População urbana atendida com abastecimento de água],Tabela1[Ano de Referência],'Valuation (FCF) Guara'!Q$2)</f>
        <v>19361</v>
      </c>
      <c r="R34" s="5">
        <f>SUMIFS(Tabela1[AG026 - População urbana atendida com abastecimento de água],Tabela1[Ano de Referência],'Valuation (FCF) Guara'!R$2)</f>
        <v>20070</v>
      </c>
      <c r="S34" s="5">
        <f>SUMIFS(Tabela1[AG026 - População urbana atendida com abastecimento de água],Tabela1[Ano de Referência],'Valuation (FCF) Guara'!S$2)</f>
        <v>20157</v>
      </c>
      <c r="T34" s="5">
        <f>SUMIFS(Tabela1[AG026 - População urbana atendida com abastecimento de água],Tabela1[Ano de Referência],'Valuation (FCF) Guara'!T$2)</f>
        <v>20242</v>
      </c>
      <c r="U34" s="5">
        <f>SUMIFS(Tabela1[AG026 - População urbana atendida com abastecimento de água],Tabela1[Ano de Referência],'Valuation (FCF) Guara'!U$2)</f>
        <v>20326</v>
      </c>
      <c r="V34" s="5">
        <f>SUMIFS(Tabela1[AG026 - População urbana atendida com abastecimento de água],Tabela1[Ano de Referência],'Valuation (FCF) Guara'!V$2)</f>
        <v>20407</v>
      </c>
      <c r="W34" s="5">
        <f>SUMIFS(Tabela1[AG026 - População urbana atendida com abastecimento de água],Tabela1[Ano de Referência],'Valuation (FCF) Guara'!W$2)</f>
        <v>20453</v>
      </c>
      <c r="X34" s="5">
        <f>SUMIFS(Tabela1[AG026 - População urbana atendida com abastecimento de água],Tabela1[Ano de Referência],'Valuation (FCF) Guara'!X$2)</f>
        <v>20541</v>
      </c>
      <c r="Y34" s="5">
        <f>SUMIFS(Tabela1[AG026 - População urbana atendida com abastecimento de água],Tabela1[Ano de Referência],'Valuation (FCF) Guara'!Y$2)</f>
        <v>20329</v>
      </c>
      <c r="Z34" s="5">
        <f>SUMIFS(Tabela1[AG026 - População urbana atendida com abastecimento de água],Tabela1[Ano de Referência],'Valuation (FCF) Guara'!Z$2)</f>
        <v>20332</v>
      </c>
      <c r="AA34" s="5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</row>
    <row r="35" spans="2:57" x14ac:dyDescent="0.2">
      <c r="B35" t="s">
        <v>250</v>
      </c>
      <c r="J35" s="1"/>
      <c r="O35" s="5">
        <f t="shared" ref="O35:Z35" si="31">O33-O34</f>
        <v>635</v>
      </c>
      <c r="P35" s="5">
        <f t="shared" si="31"/>
        <v>0</v>
      </c>
      <c r="Q35" s="5">
        <f t="shared" si="31"/>
        <v>0</v>
      </c>
      <c r="R35" s="5">
        <f t="shared" si="31"/>
        <v>0</v>
      </c>
      <c r="S35" s="5">
        <f t="shared" si="31"/>
        <v>0</v>
      </c>
      <c r="T35" s="5">
        <f t="shared" si="31"/>
        <v>0</v>
      </c>
      <c r="U35" s="5">
        <f t="shared" si="31"/>
        <v>0</v>
      </c>
      <c r="V35" s="5">
        <f t="shared" si="31"/>
        <v>674</v>
      </c>
      <c r="W35" s="5">
        <f t="shared" si="31"/>
        <v>676</v>
      </c>
      <c r="X35" s="5">
        <f t="shared" si="31"/>
        <v>679</v>
      </c>
      <c r="Y35" s="5">
        <f t="shared" si="31"/>
        <v>0</v>
      </c>
      <c r="Z35" s="5">
        <f t="shared" si="31"/>
        <v>0</v>
      </c>
      <c r="AA35" s="5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</row>
    <row r="36" spans="2:57" x14ac:dyDescent="0.2">
      <c r="AB36" s="1"/>
    </row>
    <row r="37" spans="2:57" x14ac:dyDescent="0.2">
      <c r="B37" t="s">
        <v>251</v>
      </c>
      <c r="O37" s="5">
        <f>SUMIFS(Tabela1[AG021 - Quantidade de ligações totais de água],Tabela1[Ano de Referência],'Valuation (FCF) Guara'!O$2)</f>
        <v>6639</v>
      </c>
      <c r="P37" s="5">
        <f>SUMIFS(Tabela1[AG021 - Quantidade de ligações totais de água],Tabela1[Ano de Referência],'Valuation (FCF) Guara'!P$2)</f>
        <v>6433</v>
      </c>
      <c r="Q37" s="5">
        <f>SUMIFS(Tabela1[AG021 - Quantidade de ligações totais de água],Tabela1[Ano de Referência],'Valuation (FCF) Guara'!Q$2)</f>
        <v>6725</v>
      </c>
      <c r="R37" s="5">
        <f>SUMIFS(Tabela1[AG021 - Quantidade de ligações totais de água],Tabela1[Ano de Referência],'Valuation (FCF) Guara'!R$2)</f>
        <v>7016</v>
      </c>
      <c r="S37" s="5">
        <f>SUMIFS(Tabela1[AG021 - Quantidade de ligações totais de água],Tabela1[Ano de Referência],'Valuation (FCF) Guara'!S$2)</f>
        <v>7117</v>
      </c>
      <c r="T37" s="5">
        <f>SUMIFS(Tabela1[AG021 - Quantidade de ligações totais de água],Tabela1[Ano de Referência],'Valuation (FCF) Guara'!T$2)</f>
        <v>7239</v>
      </c>
      <c r="U37" s="5">
        <f>SUMIFS(Tabela1[AG021 - Quantidade de ligações totais de água],Tabela1[Ano de Referência],'Valuation (FCF) Guara'!U$2)</f>
        <v>7433</v>
      </c>
      <c r="V37" s="5">
        <f>SUMIFS(Tabela1[AG021 - Quantidade de ligações totais de água],Tabela1[Ano de Referência],'Valuation (FCF) Guara'!V$2)</f>
        <v>8431</v>
      </c>
      <c r="W37" s="5">
        <f>SUMIFS(Tabela1[AG021 - Quantidade de ligações totais de água],Tabela1[Ano de Referência],'Valuation (FCF) Guara'!W$2)</f>
        <v>7666</v>
      </c>
      <c r="X37" s="5">
        <f>SUMIFS(Tabela1[AG021 - Quantidade de ligações totais de água],Tabela1[Ano de Referência],'Valuation (FCF) Guara'!X$2)</f>
        <v>7887</v>
      </c>
      <c r="Y37" s="5">
        <f>SUMIFS(Tabela1[AG021 - Quantidade de ligações totais de água],Tabela1[Ano de Referência],'Valuation (FCF) Guara'!Y$2)</f>
        <v>7914</v>
      </c>
      <c r="Z37" s="5">
        <f>SUMIFS(Tabela1[AG021 - Quantidade de ligações totais de água],Tabela1[Ano de Referência],'Valuation (FCF) Guara'!Z$2)</f>
        <v>8033</v>
      </c>
      <c r="AA37" s="5"/>
      <c r="AB37" s="5">
        <f>AB33/AB41</f>
        <v>6548.2761934290775</v>
      </c>
      <c r="AC37" s="5">
        <f t="shared" ref="AC37:BE37" si="32">AC33/AC41</f>
        <v>6679.8521327578737</v>
      </c>
      <c r="AD37" s="5">
        <f t="shared" si="32"/>
        <v>6785.0640897896883</v>
      </c>
      <c r="AE37" s="5">
        <f t="shared" si="32"/>
        <v>6890.3065916789164</v>
      </c>
      <c r="AF37" s="5">
        <f t="shared" si="32"/>
        <v>6995.5447088594601</v>
      </c>
      <c r="AG37" s="5">
        <f t="shared" si="32"/>
        <v>7100.7431968805413</v>
      </c>
      <c r="AH37" s="5">
        <f t="shared" si="32"/>
        <v>7135.0864579815398</v>
      </c>
      <c r="AI37" s="5">
        <f t="shared" si="32"/>
        <v>7168.6527779083672</v>
      </c>
      <c r="AJ37" s="5">
        <f t="shared" si="32"/>
        <v>7201.4295805099582</v>
      </c>
      <c r="AK37" s="5">
        <f t="shared" si="32"/>
        <v>7233.4045428736245</v>
      </c>
      <c r="AL37" s="5">
        <f t="shared" si="32"/>
        <v>7264.5656030345826</v>
      </c>
      <c r="AM37" s="5">
        <f t="shared" si="32"/>
        <v>7294.9009675491434</v>
      </c>
      <c r="AN37" s="5">
        <f t="shared" ref="AN37" si="33">AN33/AN41</f>
        <v>7324.3991189249309</v>
      </c>
      <c r="AO37" s="5">
        <f t="shared" si="32"/>
        <v>7353.0488229015928</v>
      </c>
      <c r="AP37" s="5">
        <f t="shared" si="32"/>
        <v>7380.839135575563</v>
      </c>
      <c r="AQ37" s="5">
        <f t="shared" si="32"/>
        <v>7407.7594103625406</v>
      </c>
      <c r="AR37" s="5">
        <f t="shared" si="32"/>
        <v>7433.7993047915243</v>
      </c>
      <c r="AS37" s="5">
        <f t="shared" si="32"/>
        <v>7458.9487871243082</v>
      </c>
      <c r="AT37" s="5">
        <f t="shared" si="32"/>
        <v>7483.1981427945129</v>
      </c>
      <c r="AU37" s="5">
        <f t="shared" si="32"/>
        <v>7506.537980660406</v>
      </c>
      <c r="AV37" s="5">
        <f t="shared" si="32"/>
        <v>7528.9592390658145</v>
      </c>
      <c r="AW37" s="5">
        <f t="shared" si="32"/>
        <v>7550.4531917037248</v>
      </c>
      <c r="AX37" s="5">
        <f t="shared" si="32"/>
        <v>7571.0114532772013</v>
      </c>
      <c r="AY37" s="5">
        <f t="shared" si="32"/>
        <v>7590.6259849525222</v>
      </c>
      <c r="AZ37" s="5">
        <f t="shared" si="32"/>
        <v>7609.2890995995449</v>
      </c>
      <c r="BA37" s="5">
        <f t="shared" si="32"/>
        <v>7626.9934668145434</v>
      </c>
      <c r="BB37" s="5">
        <f t="shared" si="32"/>
        <v>7643.732117720876</v>
      </c>
      <c r="BC37" s="5">
        <f t="shared" si="32"/>
        <v>7659.4984495431409</v>
      </c>
      <c r="BD37" s="5">
        <f t="shared" si="32"/>
        <v>7674.2862299505614</v>
      </c>
      <c r="BE37" s="5">
        <f t="shared" si="32"/>
        <v>7688.0896011656378</v>
      </c>
    </row>
    <row r="38" spans="2:57" x14ac:dyDescent="0.2">
      <c r="B38" t="s">
        <v>252</v>
      </c>
      <c r="O38" s="5">
        <f>SUMIFS(Tabela1[AG002 - Quantidade de ligações ativas de água],Tabela1[Ano de Referência],'Valuation (FCF) Guara'!O$2)</f>
        <v>6639</v>
      </c>
      <c r="P38" s="5">
        <f>SUMIFS(Tabela1[AG002 - Quantidade de ligações ativas de água],Tabela1[Ano de Referência],'Valuation (FCF) Guara'!P$2)</f>
        <v>5854</v>
      </c>
      <c r="Q38" s="5">
        <f>SUMIFS(Tabela1[AG002 - Quantidade de ligações ativas de água],Tabela1[Ano de Referência],'Valuation (FCF) Guara'!Q$2)</f>
        <v>5990</v>
      </c>
      <c r="R38" s="5">
        <f>SUMIFS(Tabela1[AG002 - Quantidade de ligações ativas de água],Tabela1[Ano de Referência],'Valuation (FCF) Guara'!R$2)</f>
        <v>6107</v>
      </c>
      <c r="S38" s="5">
        <f>SUMIFS(Tabela1[AG002 - Quantidade de ligações ativas de água],Tabela1[Ano de Referência],'Valuation (FCF) Guara'!S$2)</f>
        <v>6257</v>
      </c>
      <c r="T38" s="5">
        <f>SUMIFS(Tabela1[AG002 - Quantidade de ligações ativas de água],Tabela1[Ano de Referência],'Valuation (FCF) Guara'!T$2)</f>
        <v>6319</v>
      </c>
      <c r="U38" s="5">
        <f>SUMIFS(Tabela1[AG002 - Quantidade de ligações ativas de água],Tabela1[Ano de Referência],'Valuation (FCF) Guara'!U$2)</f>
        <v>6252</v>
      </c>
      <c r="V38" s="5">
        <f>SUMIFS(Tabela1[AG002 - Quantidade de ligações ativas de água],Tabela1[Ano de Referência],'Valuation (FCF) Guara'!V$2)</f>
        <v>7425</v>
      </c>
      <c r="W38" s="5">
        <f>SUMIFS(Tabela1[AG002 - Quantidade de ligações ativas de água],Tabela1[Ano de Referência],'Valuation (FCF) Guara'!W$2)</f>
        <v>6391</v>
      </c>
      <c r="X38" s="5">
        <f>SUMIFS(Tabela1[AG002 - Quantidade de ligações ativas de água],Tabela1[Ano de Referência],'Valuation (FCF) Guara'!X$2)</f>
        <v>6444</v>
      </c>
      <c r="Y38" s="5">
        <f>SUMIFS(Tabela1[AG002 - Quantidade de ligações ativas de água],Tabela1[Ano de Referência],'Valuation (FCF) Guara'!Y$2)</f>
        <v>6477</v>
      </c>
      <c r="Z38" s="5">
        <f>SUMIFS(Tabela1[AG002 - Quantidade de ligações ativas de água],Tabela1[Ano de Referência],'Valuation (FCF) Guara'!Z$2)</f>
        <v>6548</v>
      </c>
      <c r="AA38" s="5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2:57" x14ac:dyDescent="0.2">
      <c r="B39" t="s">
        <v>253</v>
      </c>
      <c r="I39" s="12"/>
      <c r="O39" s="1">
        <f>O37-O38</f>
        <v>0</v>
      </c>
      <c r="P39" s="1">
        <f t="shared" ref="P39:Z39" si="34">P37-P38</f>
        <v>579</v>
      </c>
      <c r="Q39" s="1">
        <f t="shared" si="34"/>
        <v>735</v>
      </c>
      <c r="R39" s="1">
        <f t="shared" si="34"/>
        <v>909</v>
      </c>
      <c r="S39" s="1">
        <f t="shared" si="34"/>
        <v>860</v>
      </c>
      <c r="T39" s="1">
        <f t="shared" si="34"/>
        <v>920</v>
      </c>
      <c r="U39" s="1">
        <f t="shared" si="34"/>
        <v>1181</v>
      </c>
      <c r="V39" s="1">
        <f t="shared" si="34"/>
        <v>1006</v>
      </c>
      <c r="W39" s="1">
        <f t="shared" si="34"/>
        <v>1275</v>
      </c>
      <c r="X39" s="1">
        <f t="shared" si="34"/>
        <v>1443</v>
      </c>
      <c r="Y39" s="1">
        <f t="shared" si="34"/>
        <v>1437</v>
      </c>
      <c r="Z39" s="1">
        <f t="shared" si="34"/>
        <v>1485</v>
      </c>
      <c r="AA39" s="1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</row>
    <row r="40" spans="2:57" x14ac:dyDescent="0.2"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2:57" x14ac:dyDescent="0.2">
      <c r="B41" t="s">
        <v>284</v>
      </c>
      <c r="I41">
        <v>1</v>
      </c>
      <c r="J41">
        <v>30</v>
      </c>
      <c r="K41" s="15">
        <f t="shared" ref="K41" si="35">Z41</f>
        <v>3.1050702504581551</v>
      </c>
      <c r="L41" s="15">
        <f>K41/1.05</f>
        <v>2.9572097623410998</v>
      </c>
      <c r="O41" s="8">
        <f>O33/O38</f>
        <v>2.9911131194456995</v>
      </c>
      <c r="P41" s="8">
        <f t="shared" ref="P41:Z41" si="36">P33/P38</f>
        <v>3.2837376153057738</v>
      </c>
      <c r="Q41" s="8">
        <f t="shared" si="36"/>
        <v>3.2322203672787979</v>
      </c>
      <c r="R41" s="8">
        <f t="shared" si="36"/>
        <v>3.2863926641558865</v>
      </c>
      <c r="S41" s="8">
        <f t="shared" si="36"/>
        <v>3.2215119066645359</v>
      </c>
      <c r="T41" s="8">
        <f t="shared" si="36"/>
        <v>3.2033549612280425</v>
      </c>
      <c r="U41" s="8">
        <f t="shared" si="36"/>
        <v>3.2511196417146513</v>
      </c>
      <c r="V41" s="8">
        <f t="shared" si="36"/>
        <v>2.839191919191919</v>
      </c>
      <c r="W41" s="8">
        <f t="shared" si="36"/>
        <v>3.3060553903927397</v>
      </c>
      <c r="X41" s="8">
        <f t="shared" si="36"/>
        <v>3.2929857231533211</v>
      </c>
      <c r="Y41" s="8">
        <f t="shared" si="36"/>
        <v>3.1386444341516135</v>
      </c>
      <c r="Z41" s="8">
        <f t="shared" si="36"/>
        <v>3.1050702504581551</v>
      </c>
      <c r="AA41" s="8"/>
      <c r="AB41" s="15">
        <f>IF(AND($I41&lt;AB$3,AB$3&lt;=$J41),AA41+($L41-$K41)/($J41-$I41+1),IF($I41&gt;=AB$3,$K41,$L41))</f>
        <v>3.1050702504581551</v>
      </c>
      <c r="AC41" s="15">
        <f t="shared" ref="AC41:BE41" si="37">IF(AND($I41&lt;AC$3,AC$3&lt;=$J41),AB41+($L41-$K41)/($J41-$I41+1),IF($I41&gt;=AC$3,$K41,$L41))</f>
        <v>3.1001415675209198</v>
      </c>
      <c r="AD41" s="15">
        <f t="shared" si="37"/>
        <v>3.0952128845836846</v>
      </c>
      <c r="AE41" s="15">
        <f t="shared" si="37"/>
        <v>3.0902842016464493</v>
      </c>
      <c r="AF41" s="15">
        <f t="shared" si="37"/>
        <v>3.0853555187092141</v>
      </c>
      <c r="AG41" s="15">
        <f t="shared" si="37"/>
        <v>3.0804268357719788</v>
      </c>
      <c r="AH41" s="15">
        <f t="shared" si="37"/>
        <v>3.0754981528347436</v>
      </c>
      <c r="AI41" s="15">
        <f t="shared" si="37"/>
        <v>3.0705694698975083</v>
      </c>
      <c r="AJ41" s="15">
        <f t="shared" si="37"/>
        <v>3.0656407869602731</v>
      </c>
      <c r="AK41" s="15">
        <f t="shared" si="37"/>
        <v>3.0607121040230378</v>
      </c>
      <c r="AL41" s="15">
        <f t="shared" si="37"/>
        <v>3.0557834210858026</v>
      </c>
      <c r="AM41" s="15">
        <f t="shared" si="37"/>
        <v>3.0508547381485673</v>
      </c>
      <c r="AN41" s="15">
        <f t="shared" si="37"/>
        <v>3.0459260552113321</v>
      </c>
      <c r="AO41" s="15">
        <f t="shared" si="37"/>
        <v>3.0409973722740968</v>
      </c>
      <c r="AP41" s="15">
        <f t="shared" si="37"/>
        <v>3.0360686893368616</v>
      </c>
      <c r="AQ41" s="15">
        <f t="shared" si="37"/>
        <v>3.0311400063996263</v>
      </c>
      <c r="AR41" s="15">
        <f t="shared" si="37"/>
        <v>3.0262113234623911</v>
      </c>
      <c r="AS41" s="15">
        <f t="shared" si="37"/>
        <v>3.0212826405251558</v>
      </c>
      <c r="AT41" s="15">
        <f t="shared" si="37"/>
        <v>3.0163539575879206</v>
      </c>
      <c r="AU41" s="15">
        <f t="shared" si="37"/>
        <v>3.0114252746506853</v>
      </c>
      <c r="AV41" s="15">
        <f t="shared" si="37"/>
        <v>3.0064965917134501</v>
      </c>
      <c r="AW41" s="15">
        <f t="shared" si="37"/>
        <v>3.0015679087762148</v>
      </c>
      <c r="AX41" s="15">
        <f t="shared" si="37"/>
        <v>2.9966392258389796</v>
      </c>
      <c r="AY41" s="15">
        <f t="shared" si="37"/>
        <v>2.9917105429017443</v>
      </c>
      <c r="AZ41" s="15">
        <f t="shared" si="37"/>
        <v>2.9867818599645091</v>
      </c>
      <c r="BA41" s="15">
        <f t="shared" si="37"/>
        <v>2.9818531770272738</v>
      </c>
      <c r="BB41" s="15">
        <f t="shared" si="37"/>
        <v>2.9769244940900386</v>
      </c>
      <c r="BC41" s="15">
        <f t="shared" si="37"/>
        <v>2.9719958111528033</v>
      </c>
      <c r="BD41" s="15">
        <f t="shared" si="37"/>
        <v>2.9670671282155681</v>
      </c>
      <c r="BE41" s="15">
        <f t="shared" si="37"/>
        <v>2.9621384452783328</v>
      </c>
    </row>
    <row r="42" spans="2:57" x14ac:dyDescent="0.2"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2:57" s="9" customFormat="1" x14ac:dyDescent="0.2">
      <c r="B43" s="9" t="s">
        <v>255</v>
      </c>
      <c r="K43" s="25"/>
    </row>
    <row r="45" spans="2:57" x14ac:dyDescent="0.2">
      <c r="B45" t="s">
        <v>247</v>
      </c>
      <c r="J45" s="1"/>
      <c r="O45" s="5">
        <f>SUMIFS(Tabela1[ES001 - População total atendida com esgotamento sanitário],Tabela1[Ano de Referência],'Valuation (FCF) Guara'!O$2)</f>
        <v>19223</v>
      </c>
      <c r="P45" s="5">
        <f>SUMIFS(Tabela1[ES001 - População total atendida com esgotamento sanitário],Tabela1[Ano de Referência],'Valuation (FCF) Guara'!P$2)</f>
        <v>19223</v>
      </c>
      <c r="Q45" s="5">
        <f>SUMIFS(Tabela1[ES001 - População total atendida com esgotamento sanitário],Tabela1[Ano de Referência],'Valuation (FCF) Guara'!Q$2)</f>
        <v>19361</v>
      </c>
      <c r="R45" s="5">
        <f>SUMIFS(Tabela1[ES001 - População total atendida com esgotamento sanitário],Tabela1[Ano de Referência],'Valuation (FCF) Guara'!R$2)</f>
        <v>20070</v>
      </c>
      <c r="S45" s="5">
        <f>SUMIFS(Tabela1[ES001 - População total atendida com esgotamento sanitário],Tabela1[Ano de Referência],'Valuation (FCF) Guara'!S$2)</f>
        <v>20157</v>
      </c>
      <c r="T45" s="5">
        <f>SUMIFS(Tabela1[ES001 - População total atendida com esgotamento sanitário],Tabela1[Ano de Referência],'Valuation (FCF) Guara'!T$2)</f>
        <v>20242</v>
      </c>
      <c r="U45" s="5">
        <f>SUMIFS(Tabela1[ES001 - População total atendida com esgotamento sanitário],Tabela1[Ano de Referência],'Valuation (FCF) Guara'!U$2)</f>
        <v>20326</v>
      </c>
      <c r="V45" s="5">
        <f>SUMIFS(Tabela1[ES001 - População total atendida com esgotamento sanitário],Tabela1[Ano de Referência],'Valuation (FCF) Guara'!V$2)</f>
        <v>21081</v>
      </c>
      <c r="W45" s="5">
        <f>SUMIFS(Tabela1[ES001 - População total atendida com esgotamento sanitário],Tabela1[Ano de Referência],'Valuation (FCF) Guara'!W$2)</f>
        <v>21129</v>
      </c>
      <c r="X45" s="5">
        <f>SUMIFS(Tabela1[ES001 - População total atendida com esgotamento sanitário],Tabela1[Ano de Referência],'Valuation (FCF) Guara'!X$2)</f>
        <v>21220</v>
      </c>
      <c r="Y45" s="5">
        <f>SUMIFS(Tabela1[ES001 - População total atendida com esgotamento sanitário],Tabela1[Ano de Referência],'Valuation (FCF) Guara'!Y$2)</f>
        <v>20329</v>
      </c>
      <c r="Z45" s="5">
        <f>SUMIFS(Tabela1[ES001 - População total atendida com esgotamento sanitário],Tabela1[Ano de Referência],'Valuation (FCF) Guara'!Z$2)</f>
        <v>20332</v>
      </c>
      <c r="AA45" s="5"/>
      <c r="AB45" s="5">
        <f>AB27*AB17</f>
        <v>20332.857599999999</v>
      </c>
      <c r="AC45" s="5">
        <f t="shared" ref="AC45:BE45" si="38">AC27*AC17</f>
        <v>20492.845733189861</v>
      </c>
      <c r="AD45" s="5">
        <f t="shared" si="38"/>
        <v>20568.310104759013</v>
      </c>
      <c r="AE45" s="5">
        <f t="shared" si="38"/>
        <v>20641.285305893143</v>
      </c>
      <c r="AF45" s="5">
        <f t="shared" si="38"/>
        <v>20711.742535513957</v>
      </c>
      <c r="AG45" s="5">
        <f t="shared" si="38"/>
        <v>20779.653902716324</v>
      </c>
      <c r="AH45" s="5">
        <f t="shared" si="38"/>
        <v>20846.747960746496</v>
      </c>
      <c r="AI45" s="5">
        <f t="shared" si="38"/>
        <v>20911.254042134326</v>
      </c>
      <c r="AJ45" s="5">
        <f t="shared" si="38"/>
        <v>20973.146434111859</v>
      </c>
      <c r="AK45" s="5">
        <f t="shared" si="38"/>
        <v>21032.400395785106</v>
      </c>
      <c r="AL45" s="5">
        <f t="shared" si="38"/>
        <v>21088.992174586099</v>
      </c>
      <c r="AM45" s="5">
        <f t="shared" si="38"/>
        <v>21142.899022113277</v>
      </c>
      <c r="AN45" s="5">
        <f t="shared" ref="AN45" si="39">AN27*AN17</f>
        <v>21194.099209345353</v>
      </c>
      <c r="AO45" s="5">
        <f t="shared" si="38"/>
        <v>21242.572041214538</v>
      </c>
      <c r="AP45" s="5">
        <f t="shared" si="38"/>
        <v>21288.297870525457</v>
      </c>
      <c r="AQ45" s="5">
        <f t="shared" si="38"/>
        <v>21331.258111206542</v>
      </c>
      <c r="AR45" s="5">
        <f t="shared" si="38"/>
        <v>21371.435250881612</v>
      </c>
      <c r="AS45" s="5">
        <f t="shared" si="38"/>
        <v>21408.812862749593</v>
      </c>
      <c r="AT45" s="5">
        <f t="shared" si="38"/>
        <v>21443.375616761165</v>
      </c>
      <c r="AU45" s="5">
        <f t="shared" si="38"/>
        <v>21475.10929008176</v>
      </c>
      <c r="AV45" s="5">
        <f t="shared" si="38"/>
        <v>21504.000776830817</v>
      </c>
      <c r="AW45" s="5">
        <f t="shared" si="38"/>
        <v>21530.038097088105</v>
      </c>
      <c r="AX45" s="5">
        <f t="shared" si="38"/>
        <v>21553.210405158308</v>
      </c>
      <c r="AY45" s="5">
        <f t="shared" si="38"/>
        <v>21573.507997086075</v>
      </c>
      <c r="AZ45" s="5">
        <f t="shared" si="38"/>
        <v>21590.922317414115</v>
      </c>
      <c r="BA45" s="5">
        <f t="shared" si="38"/>
        <v>21605.445965177845</v>
      </c>
      <c r="BB45" s="5">
        <f t="shared" si="38"/>
        <v>21617.072699130698</v>
      </c>
      <c r="BC45" s="5">
        <f t="shared" si="38"/>
        <v>21625.797442194926</v>
      </c>
      <c r="BD45" s="5">
        <f t="shared" si="38"/>
        <v>21631.616285133503</v>
      </c>
      <c r="BE45" s="5">
        <f t="shared" si="38"/>
        <v>21634.526489439435</v>
      </c>
    </row>
    <row r="46" spans="2:57" x14ac:dyDescent="0.2">
      <c r="B46" t="s">
        <v>249</v>
      </c>
      <c r="O46" s="5">
        <f>SUMIFS(Tabela1[ES026 - População urbana atendida com esgotamento sanitário],Tabela1[Ano de Referência],'Valuation (FCF) Guara'!O$2)</f>
        <v>19223</v>
      </c>
      <c r="P46" s="5">
        <f>SUMIFS(Tabela1[ES026 - População urbana atendida com esgotamento sanitário],Tabela1[Ano de Referência],'Valuation (FCF) Guara'!P$2)</f>
        <v>19223</v>
      </c>
      <c r="Q46" s="5">
        <f>SUMIFS(Tabela1[ES026 - População urbana atendida com esgotamento sanitário],Tabela1[Ano de Referência],'Valuation (FCF) Guara'!Q$2)</f>
        <v>19361</v>
      </c>
      <c r="R46" s="5">
        <f>SUMIFS(Tabela1[ES026 - População urbana atendida com esgotamento sanitário],Tabela1[Ano de Referência],'Valuation (FCF) Guara'!R$2)</f>
        <v>20070</v>
      </c>
      <c r="S46" s="5">
        <f>SUMIFS(Tabela1[ES026 - População urbana atendida com esgotamento sanitário],Tabela1[Ano de Referência],'Valuation (FCF) Guara'!S$2)</f>
        <v>20157</v>
      </c>
      <c r="T46" s="5">
        <f>SUMIFS(Tabela1[ES026 - População urbana atendida com esgotamento sanitário],Tabela1[Ano de Referência],'Valuation (FCF) Guara'!T$2)</f>
        <v>20242</v>
      </c>
      <c r="U46" s="5">
        <f>SUMIFS(Tabela1[ES026 - População urbana atendida com esgotamento sanitário],Tabela1[Ano de Referência],'Valuation (FCF) Guara'!U$2)</f>
        <v>20326</v>
      </c>
      <c r="V46" s="5">
        <f>SUMIFS(Tabela1[ES026 - População urbana atendida com esgotamento sanitário],Tabela1[Ano de Referência],'Valuation (FCF) Guara'!V$2)</f>
        <v>20407</v>
      </c>
      <c r="W46" s="5">
        <f>SUMIFS(Tabela1[ES026 - População urbana atendida com esgotamento sanitário],Tabela1[Ano de Referência],'Valuation (FCF) Guara'!W$2)</f>
        <v>20453</v>
      </c>
      <c r="X46" s="5">
        <f>SUMIFS(Tabela1[ES026 - População urbana atendida com esgotamento sanitário],Tabela1[Ano de Referência],'Valuation (FCF) Guara'!X$2)</f>
        <v>20541</v>
      </c>
      <c r="Y46" s="5">
        <f>SUMIFS(Tabela1[ES026 - População urbana atendida com esgotamento sanitário],Tabela1[Ano de Referência],'Valuation (FCF) Guara'!Y$2)</f>
        <v>20329</v>
      </c>
      <c r="Z46" s="5">
        <f>SUMIFS(Tabela1[ES026 - População urbana atendida com esgotamento sanitário],Tabela1[Ano de Referência],'Valuation (FCF) Guara'!Z$2)</f>
        <v>20332</v>
      </c>
      <c r="AA46" s="5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2:57" x14ac:dyDescent="0.2">
      <c r="B47" t="s">
        <v>250</v>
      </c>
      <c r="O47" s="5">
        <f t="shared" ref="O47:Z47" si="40">O45-O46</f>
        <v>0</v>
      </c>
      <c r="P47" s="5">
        <f t="shared" si="40"/>
        <v>0</v>
      </c>
      <c r="Q47" s="5">
        <f t="shared" si="40"/>
        <v>0</v>
      </c>
      <c r="R47" s="5">
        <f t="shared" si="40"/>
        <v>0</v>
      </c>
      <c r="S47" s="5">
        <f t="shared" si="40"/>
        <v>0</v>
      </c>
      <c r="T47" s="5">
        <f t="shared" si="40"/>
        <v>0</v>
      </c>
      <c r="U47" s="5">
        <f t="shared" si="40"/>
        <v>0</v>
      </c>
      <c r="V47" s="5">
        <f t="shared" si="40"/>
        <v>674</v>
      </c>
      <c r="W47" s="5">
        <f t="shared" si="40"/>
        <v>676</v>
      </c>
      <c r="X47" s="5">
        <f t="shared" si="40"/>
        <v>679</v>
      </c>
      <c r="Y47" s="5">
        <f t="shared" si="40"/>
        <v>0</v>
      </c>
      <c r="Z47" s="5">
        <f t="shared" si="40"/>
        <v>0</v>
      </c>
      <c r="AA47" s="5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</row>
    <row r="49" spans="2:57" x14ac:dyDescent="0.2">
      <c r="B49" t="s">
        <v>256</v>
      </c>
      <c r="J49" s="1"/>
      <c r="O49" s="5">
        <f>SUMIFS(Tabela1[ES002 - Quantidade de ligações ativas de esgotos],Tabela1[Ano de Referência],'Valuation (FCF) Guara'!O$2)</f>
        <v>6481</v>
      </c>
      <c r="P49" s="5">
        <f>SUMIFS(Tabela1[ES002 - Quantidade de ligações ativas de esgotos],Tabela1[Ano de Referência],'Valuation (FCF) Guara'!P$2)</f>
        <v>5854</v>
      </c>
      <c r="Q49" s="5">
        <f>SUMIFS(Tabela1[ES002 - Quantidade de ligações ativas de esgotos],Tabela1[Ano de Referência],'Valuation (FCF) Guara'!Q$2)</f>
        <v>5876</v>
      </c>
      <c r="R49" s="5">
        <f>SUMIFS(Tabela1[ES002 - Quantidade de ligações ativas de esgotos],Tabela1[Ano de Referência],'Valuation (FCF) Guara'!R$2)</f>
        <v>6030</v>
      </c>
      <c r="S49" s="5">
        <f>SUMIFS(Tabela1[ES002 - Quantidade de ligações ativas de esgotos],Tabela1[Ano de Referência],'Valuation (FCF) Guara'!S$2)</f>
        <v>6084</v>
      </c>
      <c r="T49" s="5">
        <f>SUMIFS(Tabela1[ES002 - Quantidade de ligações ativas de esgotos],Tabela1[Ano de Referência],'Valuation (FCF) Guara'!T$2)</f>
        <v>6178</v>
      </c>
      <c r="U49" s="5">
        <f>SUMIFS(Tabela1[ES002 - Quantidade de ligações ativas de esgotos],Tabela1[Ano de Referência],'Valuation (FCF) Guara'!U$2)</f>
        <v>6763</v>
      </c>
      <c r="V49" s="5">
        <f>SUMIFS(Tabela1[ES002 - Quantidade de ligações ativas de esgotos],Tabela1[Ano de Referência],'Valuation (FCF) Guara'!V$2)</f>
        <v>6755</v>
      </c>
      <c r="W49" s="5">
        <f>SUMIFS(Tabela1[ES002 - Quantidade de ligações ativas de esgotos],Tabela1[Ano de Referência],'Valuation (FCF) Guara'!W$2)</f>
        <v>6334</v>
      </c>
      <c r="X49" s="5">
        <f>SUMIFS(Tabela1[ES002 - Quantidade de ligações ativas de esgotos],Tabela1[Ano de Referência],'Valuation (FCF) Guara'!X$2)</f>
        <v>6413</v>
      </c>
      <c r="Y49" s="5">
        <f>SUMIFS(Tabela1[ES002 - Quantidade de ligações ativas de esgotos],Tabela1[Ano de Referência],'Valuation (FCF) Guara'!Y$2)</f>
        <v>6431</v>
      </c>
      <c r="Z49" s="5">
        <f>SUMIFS(Tabela1[ES002 - Quantidade de ligações ativas de esgotos],Tabela1[Ano de Referência],'Valuation (FCF) Guara'!Z$2)</f>
        <v>6506</v>
      </c>
      <c r="AA49" s="5"/>
      <c r="AB49" s="5">
        <f>AB45/AB53</f>
        <v>6506.2744218768439</v>
      </c>
      <c r="AC49" s="5">
        <f t="shared" ref="AC49:BE49" si="41">AC45/AC53</f>
        <v>6567.8939645043265</v>
      </c>
      <c r="AD49" s="5">
        <f t="shared" si="41"/>
        <v>6602.5770060298528</v>
      </c>
      <c r="AE49" s="5">
        <f t="shared" si="41"/>
        <v>6636.5703630804173</v>
      </c>
      <c r="AF49" s="5">
        <f t="shared" si="41"/>
        <v>6669.8614555655595</v>
      </c>
      <c r="AG49" s="5">
        <f t="shared" si="41"/>
        <v>6702.4379164568663</v>
      </c>
      <c r="AH49" s="5">
        <f t="shared" si="41"/>
        <v>6734.8547450895694</v>
      </c>
      <c r="AI49" s="5">
        <f t="shared" si="41"/>
        <v>6766.5382138696159</v>
      </c>
      <c r="AJ49" s="5">
        <f t="shared" si="41"/>
        <v>6797.4764520858116</v>
      </c>
      <c r="AK49" s="5">
        <f t="shared" si="41"/>
        <v>6827.6578280603262</v>
      </c>
      <c r="AL49" s="5">
        <f t="shared" si="41"/>
        <v>6857.070956425755</v>
      </c>
      <c r="AM49" s="5">
        <f t="shared" si="41"/>
        <v>6885.704705273517</v>
      </c>
      <c r="AN49" s="5">
        <f t="shared" ref="AN49" si="42">AN45/AN53</f>
        <v>6913.5482031672764</v>
      </c>
      <c r="AO49" s="5">
        <f t="shared" si="41"/>
        <v>6940.5908460152523</v>
      </c>
      <c r="AP49" s="5">
        <f t="shared" si="41"/>
        <v>6966.8223037953394</v>
      </c>
      <c r="AQ49" s="5">
        <f t="shared" si="41"/>
        <v>6992.2325271270238</v>
      </c>
      <c r="AR49" s="5">
        <f t="shared" si="41"/>
        <v>7016.8117536843265</v>
      </c>
      <c r="AS49" s="5">
        <f t="shared" si="41"/>
        <v>7040.550514443984</v>
      </c>
      <c r="AT49" s="5">
        <f t="shared" si="41"/>
        <v>7063.4396397632936</v>
      </c>
      <c r="AU49" s="5">
        <f t="shared" si="41"/>
        <v>7085.4702652821888</v>
      </c>
      <c r="AV49" s="5">
        <f t="shared" si="41"/>
        <v>7106.6338376441781</v>
      </c>
      <c r="AW49" s="5">
        <f t="shared" si="41"/>
        <v>7126.9221200310349</v>
      </c>
      <c r="AX49" s="5">
        <f t="shared" si="41"/>
        <v>7146.3271975061698</v>
      </c>
      <c r="AY49" s="5">
        <f t="shared" si="41"/>
        <v>7164.841482161889</v>
      </c>
      <c r="AZ49" s="5">
        <f t="shared" si="41"/>
        <v>7182.457718065808</v>
      </c>
      <c r="BA49" s="5">
        <f t="shared" si="41"/>
        <v>7199.1689860019314</v>
      </c>
      <c r="BB49" s="5">
        <f t="shared" si="41"/>
        <v>7214.9687080020494</v>
      </c>
      <c r="BC49" s="5">
        <f t="shared" si="41"/>
        <v>7229.8506516633006</v>
      </c>
      <c r="BD49" s="5">
        <f t="shared" si="41"/>
        <v>7243.8089342479279</v>
      </c>
      <c r="BE49" s="5">
        <f t="shared" si="41"/>
        <v>7256.8380265614633</v>
      </c>
    </row>
    <row r="50" spans="2:57" x14ac:dyDescent="0.2">
      <c r="B50" t="s">
        <v>257</v>
      </c>
      <c r="J50" s="1"/>
      <c r="O50" s="5">
        <f>SUMIFS(Tabela1[ES002 - Quantidade de ligações ativas de esgotos],Tabela1[Ano de Referência],'Valuation (FCF) Guara'!O$2)</f>
        <v>6481</v>
      </c>
      <c r="P50" s="5">
        <f>SUMIFS(Tabela1[ES002 - Quantidade de ligações ativas de esgotos],Tabela1[Ano de Referência],'Valuation (FCF) Guara'!P$2)</f>
        <v>5854</v>
      </c>
      <c r="Q50" s="5">
        <f>SUMIFS(Tabela1[ES002 - Quantidade de ligações ativas de esgotos],Tabela1[Ano de Referência],'Valuation (FCF) Guara'!Q$2)</f>
        <v>5876</v>
      </c>
      <c r="R50" s="5">
        <f>SUMIFS(Tabela1[ES002 - Quantidade de ligações ativas de esgotos],Tabela1[Ano de Referência],'Valuation (FCF) Guara'!R$2)</f>
        <v>6030</v>
      </c>
      <c r="S50" s="5">
        <f>SUMIFS(Tabela1[ES002 - Quantidade de ligações ativas de esgotos],Tabela1[Ano de Referência],'Valuation (FCF) Guara'!S$2)</f>
        <v>6084</v>
      </c>
      <c r="T50" s="5">
        <f>SUMIFS(Tabela1[ES002 - Quantidade de ligações ativas de esgotos],Tabela1[Ano de Referência],'Valuation (FCF) Guara'!T$2)</f>
        <v>6178</v>
      </c>
      <c r="U50" s="5">
        <f>SUMIFS(Tabela1[ES002 - Quantidade de ligações ativas de esgotos],Tabela1[Ano de Referência],'Valuation (FCF) Guara'!U$2)</f>
        <v>6763</v>
      </c>
      <c r="V50" s="5">
        <f>SUMIFS(Tabela1[ES002 - Quantidade de ligações ativas de esgotos],Tabela1[Ano de Referência],'Valuation (FCF) Guara'!V$2)</f>
        <v>6755</v>
      </c>
      <c r="W50" s="5">
        <f>SUMIFS(Tabela1[ES002 - Quantidade de ligações ativas de esgotos],Tabela1[Ano de Referência],'Valuation (FCF) Guara'!W$2)</f>
        <v>6334</v>
      </c>
      <c r="X50" s="5">
        <f>SUMIFS(Tabela1[ES002 - Quantidade de ligações ativas de esgotos],Tabela1[Ano de Referência],'Valuation (FCF) Guara'!X$2)</f>
        <v>6413</v>
      </c>
      <c r="Y50" s="5">
        <f>SUMIFS(Tabela1[ES002 - Quantidade de ligações ativas de esgotos],Tabela1[Ano de Referência],'Valuation (FCF) Guara'!Y$2)</f>
        <v>6431</v>
      </c>
      <c r="Z50" s="5">
        <f>SUMIFS(Tabela1[ES002 - Quantidade de ligações ativas de esgotos],Tabela1[Ano de Referência],'Valuation (FCF) Guara'!Z$2)</f>
        <v>6506</v>
      </c>
      <c r="AA50" s="5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</row>
    <row r="51" spans="2:57" x14ac:dyDescent="0.2">
      <c r="B51" t="s">
        <v>258</v>
      </c>
      <c r="O51" s="1">
        <f>O49-O50</f>
        <v>0</v>
      </c>
      <c r="P51" s="1">
        <f t="shared" ref="P51:Z51" si="43">P49-P50</f>
        <v>0</v>
      </c>
      <c r="Q51" s="1">
        <f t="shared" si="43"/>
        <v>0</v>
      </c>
      <c r="R51" s="1">
        <f t="shared" si="43"/>
        <v>0</v>
      </c>
      <c r="S51" s="1">
        <f t="shared" si="43"/>
        <v>0</v>
      </c>
      <c r="T51" s="1">
        <f t="shared" si="43"/>
        <v>0</v>
      </c>
      <c r="U51" s="1">
        <f t="shared" si="43"/>
        <v>0</v>
      </c>
      <c r="V51" s="1">
        <f t="shared" si="43"/>
        <v>0</v>
      </c>
      <c r="W51" s="1">
        <f t="shared" si="43"/>
        <v>0</v>
      </c>
      <c r="X51" s="1">
        <f t="shared" si="43"/>
        <v>0</v>
      </c>
      <c r="Y51" s="1">
        <f t="shared" si="43"/>
        <v>0</v>
      </c>
      <c r="Z51" s="1">
        <f t="shared" si="43"/>
        <v>0</v>
      </c>
      <c r="AA51" s="1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2:57" x14ac:dyDescent="0.2"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2:57" x14ac:dyDescent="0.2">
      <c r="B53" t="s">
        <v>284</v>
      </c>
      <c r="I53">
        <v>1</v>
      </c>
      <c r="J53">
        <v>30</v>
      </c>
      <c r="K53" s="15">
        <f t="shared" ref="K53" si="44">Z53</f>
        <v>3.125115278204734</v>
      </c>
      <c r="L53" s="15">
        <f>K53/1.05</f>
        <v>2.9763002649568895</v>
      </c>
      <c r="O53" s="8">
        <f>O45/O50</f>
        <v>2.9660546212004322</v>
      </c>
      <c r="P53" s="8">
        <f t="shared" ref="P53:Z53" si="45">P45/P50</f>
        <v>3.2837376153057738</v>
      </c>
      <c r="Q53" s="8">
        <f t="shared" si="45"/>
        <v>3.294928522804629</v>
      </c>
      <c r="R53" s="8">
        <f t="shared" si="45"/>
        <v>3.3283582089552239</v>
      </c>
      <c r="S53" s="8">
        <f t="shared" si="45"/>
        <v>3.3131163708086784</v>
      </c>
      <c r="T53" s="8">
        <f t="shared" si="45"/>
        <v>3.2764648753641956</v>
      </c>
      <c r="U53" s="8">
        <f t="shared" si="45"/>
        <v>3.0054709448469614</v>
      </c>
      <c r="V53" s="8">
        <f t="shared" si="45"/>
        <v>3.1207994078460399</v>
      </c>
      <c r="W53" s="8">
        <f t="shared" si="45"/>
        <v>3.3358067571834544</v>
      </c>
      <c r="X53" s="8">
        <f t="shared" si="45"/>
        <v>3.3089037891782316</v>
      </c>
      <c r="Y53" s="8">
        <f t="shared" si="45"/>
        <v>3.1610946975587</v>
      </c>
      <c r="Z53" s="8">
        <f t="shared" si="45"/>
        <v>3.125115278204734</v>
      </c>
      <c r="AA53" s="5"/>
      <c r="AB53" s="15">
        <f t="shared" ref="AB53:BE53" si="46">IF(AND($I53&lt;AB$3,AB$3&lt;=$J53),AA53+($L53-$K53)/($J53-$I53+1),IF($I53&gt;=AB$3,$K53,$L53))</f>
        <v>3.125115278204734</v>
      </c>
      <c r="AC53" s="15">
        <f t="shared" si="46"/>
        <v>3.1201547777631391</v>
      </c>
      <c r="AD53" s="15">
        <f t="shared" si="46"/>
        <v>3.1151942773215442</v>
      </c>
      <c r="AE53" s="15">
        <f t="shared" si="46"/>
        <v>3.1102337768799493</v>
      </c>
      <c r="AF53" s="15">
        <f t="shared" si="46"/>
        <v>3.1052732764383544</v>
      </c>
      <c r="AG53" s="15">
        <f t="shared" si="46"/>
        <v>3.1003127759967595</v>
      </c>
      <c r="AH53" s="15">
        <f t="shared" si="46"/>
        <v>3.0953522755551646</v>
      </c>
      <c r="AI53" s="15">
        <f t="shared" si="46"/>
        <v>3.0903917751135697</v>
      </c>
      <c r="AJ53" s="15">
        <f t="shared" si="46"/>
        <v>3.0854312746719748</v>
      </c>
      <c r="AK53" s="15">
        <f t="shared" si="46"/>
        <v>3.0804707742303798</v>
      </c>
      <c r="AL53" s="15">
        <f t="shared" si="46"/>
        <v>3.0755102737887849</v>
      </c>
      <c r="AM53" s="15">
        <f t="shared" si="46"/>
        <v>3.07054977334719</v>
      </c>
      <c r="AN53" s="15">
        <f t="shared" si="46"/>
        <v>3.0655892729055951</v>
      </c>
      <c r="AO53" s="15">
        <f t="shared" si="46"/>
        <v>3.0606287724640002</v>
      </c>
      <c r="AP53" s="15">
        <f t="shared" si="46"/>
        <v>3.0556682720224053</v>
      </c>
      <c r="AQ53" s="15">
        <f t="shared" si="46"/>
        <v>3.0507077715808104</v>
      </c>
      <c r="AR53" s="15">
        <f t="shared" si="46"/>
        <v>3.0457472711392155</v>
      </c>
      <c r="AS53" s="15">
        <f t="shared" si="46"/>
        <v>3.0407867706976206</v>
      </c>
      <c r="AT53" s="15">
        <f t="shared" si="46"/>
        <v>3.0358262702560257</v>
      </c>
      <c r="AU53" s="15">
        <f t="shared" si="46"/>
        <v>3.0308657698144308</v>
      </c>
      <c r="AV53" s="15">
        <f t="shared" si="46"/>
        <v>3.0259052693728359</v>
      </c>
      <c r="AW53" s="15">
        <f t="shared" si="46"/>
        <v>3.020944768931241</v>
      </c>
      <c r="AX53" s="15">
        <f t="shared" si="46"/>
        <v>3.0159842684896461</v>
      </c>
      <c r="AY53" s="15">
        <f t="shared" si="46"/>
        <v>3.0110237680480512</v>
      </c>
      <c r="AZ53" s="15">
        <f t="shared" si="46"/>
        <v>3.0060632676064563</v>
      </c>
      <c r="BA53" s="15">
        <f t="shared" si="46"/>
        <v>3.0011027671648614</v>
      </c>
      <c r="BB53" s="15">
        <f t="shared" si="46"/>
        <v>2.9961422667232664</v>
      </c>
      <c r="BC53" s="15">
        <f t="shared" si="46"/>
        <v>2.9911817662816715</v>
      </c>
      <c r="BD53" s="15">
        <f t="shared" si="46"/>
        <v>2.9862212658400766</v>
      </c>
      <c r="BE53" s="15">
        <f t="shared" si="46"/>
        <v>2.9812607653984817</v>
      </c>
    </row>
    <row r="54" spans="2:57" x14ac:dyDescent="0.2"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2:57" s="9" customFormat="1" x14ac:dyDescent="0.2">
      <c r="B55" s="9" t="s">
        <v>262</v>
      </c>
      <c r="K55" s="25"/>
    </row>
    <row r="57" spans="2:57" x14ac:dyDescent="0.2">
      <c r="B57" t="s">
        <v>259</v>
      </c>
      <c r="I57">
        <v>1</v>
      </c>
      <c r="J57">
        <v>5</v>
      </c>
      <c r="K57" s="5">
        <f t="shared" ref="K57:K60" si="47">Z57</f>
        <v>167.81</v>
      </c>
      <c r="L57" s="15">
        <f>K57</f>
        <v>167.81</v>
      </c>
      <c r="O57" s="5">
        <f>SUMIFS(Tabela1[IN022 - Consumo médio percapita de água],Tabela1[Ano de Referência],'Valuation (FCF) Guara'!O$2)</f>
        <v>216.2</v>
      </c>
      <c r="P57" s="7">
        <f>SUMIFS(Tabela1[IN022 - Consumo médio percapita de água],Tabela1[Ano de Referência],'Valuation (FCF) Guara'!P$2)</f>
        <v>159.6</v>
      </c>
      <c r="Q57" s="7">
        <f>SUMIFS(Tabela1[IN022 - Consumo médio percapita de água],Tabela1[Ano de Referência],'Valuation (FCF) Guara'!Q$2)</f>
        <v>161.5</v>
      </c>
      <c r="R57" s="7">
        <f>SUMIFS(Tabela1[IN022 - Consumo médio percapita de água],Tabela1[Ano de Referência],'Valuation (FCF) Guara'!R$2)</f>
        <v>159.25</v>
      </c>
      <c r="S57" s="7">
        <f>SUMIFS(Tabela1[IN022 - Consumo médio percapita de água],Tabela1[Ano de Referência],'Valuation (FCF) Guara'!S$2)</f>
        <v>169.51</v>
      </c>
      <c r="T57" s="7">
        <f>SUMIFS(Tabela1[IN022 - Consumo médio percapita de água],Tabela1[Ano de Referência],'Valuation (FCF) Guara'!T$2)</f>
        <v>157.32</v>
      </c>
      <c r="U57" s="7">
        <f>SUMIFS(Tabela1[IN022 - Consumo médio percapita de água],Tabela1[Ano de Referência],'Valuation (FCF) Guara'!U$2)</f>
        <v>156.22</v>
      </c>
      <c r="V57" s="7">
        <f>SUMIFS(Tabela1[IN022 - Consumo médio percapita de água],Tabela1[Ano de Referência],'Valuation (FCF) Guara'!V$2)</f>
        <v>155.65</v>
      </c>
      <c r="W57" s="7">
        <f>SUMIFS(Tabela1[IN022 - Consumo médio percapita de água],Tabela1[Ano de Referência],'Valuation (FCF) Guara'!W$2)</f>
        <v>154.01</v>
      </c>
      <c r="X57" s="7">
        <f>SUMIFS(Tabela1[IN022 - Consumo médio percapita de água],Tabela1[Ano de Referência],'Valuation (FCF) Guara'!X$2)</f>
        <v>152.41</v>
      </c>
      <c r="Y57" s="7">
        <f>SUMIFS(Tabela1[IN022 - Consumo médio percapita de água],Tabela1[Ano de Referência],'Valuation (FCF) Guara'!Y$2)</f>
        <v>164.81</v>
      </c>
      <c r="Z57" s="7">
        <f>SUMIFS(Tabela1[IN022 - Consumo médio percapita de água],Tabela1[Ano de Referência],'Valuation (FCF) Guara'!Z$2)</f>
        <v>167.81</v>
      </c>
      <c r="AA57" s="7"/>
      <c r="AB57" s="7">
        <f t="shared" ref="AB57:AQ60" si="48">IF(AND($I57&lt;AB$3,AB$3&lt;=$J57),AA57+($L57-$K57)/($J57-$I57+1),IF($I57&gt;=AB$3,$K57,$L57))</f>
        <v>167.81</v>
      </c>
      <c r="AC57" s="7">
        <f t="shared" si="48"/>
        <v>167.81</v>
      </c>
      <c r="AD57" s="7">
        <f t="shared" si="48"/>
        <v>167.81</v>
      </c>
      <c r="AE57" s="7">
        <f t="shared" si="48"/>
        <v>167.81</v>
      </c>
      <c r="AF57" s="7">
        <f t="shared" si="48"/>
        <v>167.81</v>
      </c>
      <c r="AG57" s="7">
        <f t="shared" si="48"/>
        <v>167.81</v>
      </c>
      <c r="AH57" s="7">
        <f t="shared" si="48"/>
        <v>167.81</v>
      </c>
      <c r="AI57" s="7">
        <f t="shared" si="48"/>
        <v>167.81</v>
      </c>
      <c r="AJ57" s="7">
        <f t="shared" si="48"/>
        <v>167.81</v>
      </c>
      <c r="AK57" s="7">
        <f t="shared" si="48"/>
        <v>167.81</v>
      </c>
      <c r="AL57" s="7">
        <f t="shared" si="48"/>
        <v>167.81</v>
      </c>
      <c r="AM57" s="7">
        <f t="shared" si="48"/>
        <v>167.81</v>
      </c>
      <c r="AN57" s="7">
        <f t="shared" si="48"/>
        <v>167.81</v>
      </c>
      <c r="AO57" s="7">
        <f t="shared" si="48"/>
        <v>167.81</v>
      </c>
      <c r="AP57" s="7">
        <f t="shared" si="48"/>
        <v>167.81</v>
      </c>
      <c r="AQ57" s="7">
        <f t="shared" si="48"/>
        <v>167.81</v>
      </c>
      <c r="AR57" s="7">
        <f t="shared" ref="AR57:BE60" si="49">IF(AND($I57&lt;AR$3,AR$3&lt;=$J57),AQ57+($L57-$K57)/($J57-$I57+1),IF($I57&gt;=AR$3,$K57,$L57))</f>
        <v>167.81</v>
      </c>
      <c r="AS57" s="7">
        <f t="shared" si="49"/>
        <v>167.81</v>
      </c>
      <c r="AT57" s="7">
        <f t="shared" si="49"/>
        <v>167.81</v>
      </c>
      <c r="AU57" s="7">
        <f t="shared" si="49"/>
        <v>167.81</v>
      </c>
      <c r="AV57" s="7">
        <f t="shared" si="49"/>
        <v>167.81</v>
      </c>
      <c r="AW57" s="7">
        <f t="shared" si="49"/>
        <v>167.81</v>
      </c>
      <c r="AX57" s="7">
        <f t="shared" si="49"/>
        <v>167.81</v>
      </c>
      <c r="AY57" s="7">
        <f t="shared" si="49"/>
        <v>167.81</v>
      </c>
      <c r="AZ57" s="7">
        <f t="shared" si="49"/>
        <v>167.81</v>
      </c>
      <c r="BA57" s="7">
        <f t="shared" si="49"/>
        <v>167.81</v>
      </c>
      <c r="BB57" s="7">
        <f t="shared" si="49"/>
        <v>167.81</v>
      </c>
      <c r="BC57" s="7">
        <f t="shared" si="49"/>
        <v>167.81</v>
      </c>
      <c r="BD57" s="7">
        <f t="shared" si="49"/>
        <v>167.81</v>
      </c>
      <c r="BE57" s="7">
        <f t="shared" si="49"/>
        <v>167.81</v>
      </c>
    </row>
    <row r="58" spans="2:57" x14ac:dyDescent="0.2">
      <c r="B58" t="s">
        <v>260</v>
      </c>
      <c r="I58">
        <v>1</v>
      </c>
      <c r="J58">
        <v>5</v>
      </c>
      <c r="K58" s="7">
        <f t="shared" si="47"/>
        <v>20.55</v>
      </c>
      <c r="L58" s="15">
        <f>L59*L99</f>
        <v>21.884597226634085</v>
      </c>
      <c r="O58" s="7">
        <f>SUMIFS(Tabela1[IN017 - Consumo de água faturado por economia],Tabela1[Ano de Referência],'Valuation (FCF) Guara'!O$2)</f>
        <v>19.8</v>
      </c>
      <c r="P58" s="7">
        <f>SUMIFS(Tabela1[IN017 - Consumo de água faturado por economia],Tabela1[Ano de Referência],'Valuation (FCF) Guara'!P$2)</f>
        <v>15.2</v>
      </c>
      <c r="Q58" s="7">
        <f>SUMIFS(Tabela1[IN017 - Consumo de água faturado por economia],Tabela1[Ano de Referência],'Valuation (FCF) Guara'!Q$2)</f>
        <v>18.899999999999999</v>
      </c>
      <c r="R58" s="7">
        <f>SUMIFS(Tabela1[IN017 - Consumo de água faturado por economia],Tabela1[Ano de Referência],'Valuation (FCF) Guara'!R$2)</f>
        <v>18.05</v>
      </c>
      <c r="S58" s="7">
        <f>SUMIFS(Tabela1[IN017 - Consumo de água faturado por economia],Tabela1[Ano de Referência],'Valuation (FCF) Guara'!S$2)</f>
        <v>18.21</v>
      </c>
      <c r="T58" s="7">
        <f>SUMIFS(Tabela1[IN017 - Consumo de água faturado por economia],Tabela1[Ano de Referência],'Valuation (FCF) Guara'!T$2)</f>
        <v>17.28</v>
      </c>
      <c r="U58" s="7">
        <f>SUMIFS(Tabela1[IN017 - Consumo de água faturado por economia],Tabela1[Ano de Referência],'Valuation (FCF) Guara'!U$2)</f>
        <v>17.309999999999999</v>
      </c>
      <c r="V58" s="7">
        <f>SUMIFS(Tabela1[IN017 - Consumo de água faturado por economia],Tabela1[Ano de Referência],'Valuation (FCF) Guara'!V$2)</f>
        <v>13.47</v>
      </c>
      <c r="W58" s="7">
        <f>SUMIFS(Tabela1[IN017 - Consumo de água faturado por economia],Tabela1[Ano de Referência],'Valuation (FCF) Guara'!W$2)</f>
        <v>16.420000000000002</v>
      </c>
      <c r="X58" s="7">
        <f>SUMIFS(Tabela1[IN017 - Consumo de água faturado por economia],Tabela1[Ano de Referência],'Valuation (FCF) Guara'!X$2)</f>
        <v>17.53</v>
      </c>
      <c r="Y58" s="7">
        <f>SUMIFS(Tabela1[IN017 - Consumo de água faturado por economia],Tabela1[Ano de Referência],'Valuation (FCF) Guara'!Y$2)</f>
        <v>20.12</v>
      </c>
      <c r="Z58" s="7">
        <f>SUMIFS(Tabela1[IN017 - Consumo de água faturado por economia],Tabela1[Ano de Referência],'Valuation (FCF) Guara'!Z$2)</f>
        <v>20.55</v>
      </c>
      <c r="AA58" s="7"/>
      <c r="AB58" s="7">
        <f>IF(AND($I58&lt;AB$3,AB$3&lt;=$J58),AA58+($L58-$K58)/($J58-$I58+1),IF($I58&gt;=AB$3,$K58,$L58))</f>
        <v>20.55</v>
      </c>
      <c r="AC58" s="7">
        <f t="shared" si="48"/>
        <v>20.816919445326818</v>
      </c>
      <c r="AD58" s="7">
        <f t="shared" si="48"/>
        <v>21.083838890653634</v>
      </c>
      <c r="AE58" s="7">
        <f t="shared" si="48"/>
        <v>21.350758335980451</v>
      </c>
      <c r="AF58" s="7">
        <f t="shared" si="48"/>
        <v>21.617677781307268</v>
      </c>
      <c r="AG58" s="7">
        <f t="shared" si="48"/>
        <v>21.884597226634085</v>
      </c>
      <c r="AH58" s="7">
        <f t="shared" si="48"/>
        <v>21.884597226634085</v>
      </c>
      <c r="AI58" s="7">
        <f t="shared" si="48"/>
        <v>21.884597226634085</v>
      </c>
      <c r="AJ58" s="7">
        <f t="shared" si="48"/>
        <v>21.884597226634085</v>
      </c>
      <c r="AK58" s="7">
        <f t="shared" si="48"/>
        <v>21.884597226634085</v>
      </c>
      <c r="AL58" s="7">
        <f t="shared" si="48"/>
        <v>21.884597226634085</v>
      </c>
      <c r="AM58" s="7">
        <f t="shared" si="48"/>
        <v>21.884597226634085</v>
      </c>
      <c r="AN58" s="7">
        <f t="shared" si="48"/>
        <v>21.884597226634085</v>
      </c>
      <c r="AO58" s="7">
        <f t="shared" si="48"/>
        <v>21.884597226634085</v>
      </c>
      <c r="AP58" s="7">
        <f t="shared" si="48"/>
        <v>21.884597226634085</v>
      </c>
      <c r="AQ58" s="7">
        <f t="shared" si="48"/>
        <v>21.884597226634085</v>
      </c>
      <c r="AR58" s="7">
        <f t="shared" si="49"/>
        <v>21.884597226634085</v>
      </c>
      <c r="AS58" s="7">
        <f t="shared" si="49"/>
        <v>21.884597226634085</v>
      </c>
      <c r="AT58" s="7">
        <f t="shared" si="49"/>
        <v>21.884597226634085</v>
      </c>
      <c r="AU58" s="7">
        <f t="shared" si="49"/>
        <v>21.884597226634085</v>
      </c>
      <c r="AV58" s="7">
        <f t="shared" si="49"/>
        <v>21.884597226634085</v>
      </c>
      <c r="AW58" s="7">
        <f t="shared" si="49"/>
        <v>21.884597226634085</v>
      </c>
      <c r="AX58" s="7">
        <f t="shared" si="49"/>
        <v>21.884597226634085</v>
      </c>
      <c r="AY58" s="7">
        <f t="shared" si="49"/>
        <v>21.884597226634085</v>
      </c>
      <c r="AZ58" s="7">
        <f t="shared" si="49"/>
        <v>21.884597226634085</v>
      </c>
      <c r="BA58" s="7">
        <f t="shared" si="49"/>
        <v>21.884597226634085</v>
      </c>
      <c r="BB58" s="7">
        <f t="shared" si="49"/>
        <v>21.884597226634085</v>
      </c>
      <c r="BC58" s="7">
        <f t="shared" si="49"/>
        <v>21.884597226634085</v>
      </c>
      <c r="BD58" s="7">
        <f t="shared" si="49"/>
        <v>21.884597226634085</v>
      </c>
      <c r="BE58" s="7">
        <f t="shared" si="49"/>
        <v>21.884597226634085</v>
      </c>
    </row>
    <row r="59" spans="2:57" x14ac:dyDescent="0.2">
      <c r="B59" t="s">
        <v>261</v>
      </c>
      <c r="I59">
        <v>1</v>
      </c>
      <c r="J59">
        <v>5</v>
      </c>
      <c r="K59" s="7">
        <f t="shared" si="47"/>
        <v>14.98</v>
      </c>
      <c r="L59" s="15">
        <f>L57*AB41*30/1000</f>
        <v>15.631855161881489</v>
      </c>
      <c r="O59" s="7">
        <f>SUMIFS(Tabela1[IN053 - Consumo médio de água por economia],Tabela1[Ano de Referência],'Valuation (FCF) Guara'!O$2)</f>
        <v>19.8</v>
      </c>
      <c r="P59" s="7">
        <f>SUMIFS(Tabela1[IN053 - Consumo médio de água por economia],Tabela1[Ano de Referência],'Valuation (FCF) Guara'!P$2)</f>
        <v>15.2</v>
      </c>
      <c r="Q59" s="7">
        <f>SUMIFS(Tabela1[IN053 - Consumo médio de água por economia],Tabela1[Ano de Referência],'Valuation (FCF) Guara'!Q$2)</f>
        <v>16</v>
      </c>
      <c r="R59" s="7">
        <f>SUMIFS(Tabela1[IN053 - Consumo médio de água por economia],Tabela1[Ano de Referência],'Valuation (FCF) Guara'!R$2)</f>
        <v>15.23</v>
      </c>
      <c r="S59" s="7">
        <f>SUMIFS(Tabela1[IN053 - Consumo médio de água por economia],Tabela1[Ano de Referência],'Valuation (FCF) Guara'!S$2)</f>
        <v>15.68</v>
      </c>
      <c r="T59" s="7">
        <f>SUMIFS(Tabela1[IN053 - Consumo médio de água por economia],Tabela1[Ano de Referência],'Valuation (FCF) Guara'!T$2)</f>
        <v>14.41</v>
      </c>
      <c r="U59" s="7">
        <f>SUMIFS(Tabela1[IN053 - Consumo médio de água por economia],Tabela1[Ano de Referência],'Valuation (FCF) Guara'!U$2)</f>
        <v>14.43</v>
      </c>
      <c r="V59" s="7">
        <f>SUMIFS(Tabela1[IN053 - Consumo médio de água por economia],Tabela1[Ano de Referência],'Valuation (FCF) Guara'!V$2)</f>
        <v>13.96</v>
      </c>
      <c r="W59" s="7">
        <f>SUMIFS(Tabela1[IN053 - Consumo médio de água por economia],Tabela1[Ano de Referência],'Valuation (FCF) Guara'!W$2)</f>
        <v>13.89</v>
      </c>
      <c r="X59" s="7">
        <f>SUMIFS(Tabela1[IN053 - Consumo médio de água por economia],Tabela1[Ano de Referência],'Valuation (FCF) Guara'!X$2)</f>
        <v>14.36</v>
      </c>
      <c r="Y59" s="7">
        <f>SUMIFS(Tabela1[IN053 - Consumo médio de água por economia],Tabela1[Ano de Referência],'Valuation (FCF) Guara'!Y$2)</f>
        <v>15.15</v>
      </c>
      <c r="Z59" s="7">
        <f>SUMIFS(Tabela1[IN053 - Consumo médio de água por economia],Tabela1[Ano de Referência],'Valuation (FCF) Guara'!Z$2)</f>
        <v>14.98</v>
      </c>
      <c r="AA59" s="7"/>
      <c r="AB59" s="7">
        <f t="shared" si="48"/>
        <v>14.98</v>
      </c>
      <c r="AC59" s="7">
        <f t="shared" si="48"/>
        <v>15.110371032376298</v>
      </c>
      <c r="AD59" s="7">
        <f t="shared" si="48"/>
        <v>15.240742064752595</v>
      </c>
      <c r="AE59" s="7">
        <f t="shared" si="48"/>
        <v>15.371113097128893</v>
      </c>
      <c r="AF59" s="7">
        <f t="shared" si="48"/>
        <v>15.50148412950519</v>
      </c>
      <c r="AG59" s="7">
        <f t="shared" si="48"/>
        <v>15.631855161881489</v>
      </c>
      <c r="AH59" s="7">
        <f t="shared" si="48"/>
        <v>15.631855161881489</v>
      </c>
      <c r="AI59" s="7">
        <f t="shared" si="48"/>
        <v>15.631855161881489</v>
      </c>
      <c r="AJ59" s="7">
        <f t="shared" si="48"/>
        <v>15.631855161881489</v>
      </c>
      <c r="AK59" s="7">
        <f t="shared" si="48"/>
        <v>15.631855161881489</v>
      </c>
      <c r="AL59" s="7">
        <f t="shared" si="48"/>
        <v>15.631855161881489</v>
      </c>
      <c r="AM59" s="7">
        <f t="shared" si="48"/>
        <v>15.631855161881489</v>
      </c>
      <c r="AN59" s="7">
        <f t="shared" si="48"/>
        <v>15.631855161881489</v>
      </c>
      <c r="AO59" s="7">
        <f t="shared" si="48"/>
        <v>15.631855161881489</v>
      </c>
      <c r="AP59" s="7">
        <f t="shared" si="48"/>
        <v>15.631855161881489</v>
      </c>
      <c r="AQ59" s="7">
        <f t="shared" si="48"/>
        <v>15.631855161881489</v>
      </c>
      <c r="AR59" s="7">
        <f t="shared" si="49"/>
        <v>15.631855161881489</v>
      </c>
      <c r="AS59" s="7">
        <f t="shared" si="49"/>
        <v>15.631855161881489</v>
      </c>
      <c r="AT59" s="7">
        <f t="shared" si="49"/>
        <v>15.631855161881489</v>
      </c>
      <c r="AU59" s="7">
        <f t="shared" si="49"/>
        <v>15.631855161881489</v>
      </c>
      <c r="AV59" s="7">
        <f t="shared" si="49"/>
        <v>15.631855161881489</v>
      </c>
      <c r="AW59" s="7">
        <f t="shared" si="49"/>
        <v>15.631855161881489</v>
      </c>
      <c r="AX59" s="7">
        <f t="shared" si="49"/>
        <v>15.631855161881489</v>
      </c>
      <c r="AY59" s="7">
        <f t="shared" si="49"/>
        <v>15.631855161881489</v>
      </c>
      <c r="AZ59" s="7">
        <f t="shared" si="49"/>
        <v>15.631855161881489</v>
      </c>
      <c r="BA59" s="7">
        <f t="shared" si="49"/>
        <v>15.631855161881489</v>
      </c>
      <c r="BB59" s="7">
        <f t="shared" si="49"/>
        <v>15.631855161881489</v>
      </c>
      <c r="BC59" s="7">
        <f t="shared" si="49"/>
        <v>15.631855161881489</v>
      </c>
      <c r="BD59" s="7">
        <f t="shared" si="49"/>
        <v>15.631855161881489</v>
      </c>
      <c r="BE59" s="7">
        <f t="shared" si="49"/>
        <v>15.631855161881489</v>
      </c>
    </row>
    <row r="60" spans="2:57" x14ac:dyDescent="0.2">
      <c r="B60" t="s">
        <v>263</v>
      </c>
      <c r="I60">
        <v>1</v>
      </c>
      <c r="J60">
        <v>30</v>
      </c>
      <c r="K60" s="8">
        <f t="shared" si="47"/>
        <v>1.06</v>
      </c>
      <c r="L60" s="15">
        <f>K60</f>
        <v>1.06</v>
      </c>
      <c r="O60" s="8">
        <f>SUMIFS(Tabela1[IN001 - Densidade de economias de água por ligação],Tabela1[Ano de Referência],'Valuation (FCF) Guara'!O$2)</f>
        <v>1</v>
      </c>
      <c r="P60" s="8">
        <f>SUMIFS(Tabela1[IN001 - Densidade de economias de água por ligação],Tabela1[Ano de Referência],'Valuation (FCF) Guara'!P$2)</f>
        <v>1</v>
      </c>
      <c r="Q60" s="8">
        <f>SUMIFS(Tabela1[IN001 - Densidade de economias de água por ligação],Tabela1[Ano de Referência],'Valuation (FCF) Guara'!Q$2)</f>
        <v>1</v>
      </c>
      <c r="R60" s="8">
        <f>SUMIFS(Tabela1[IN001 - Densidade de economias de água por ligação],Tabela1[Ano de Referência],'Valuation (FCF) Guara'!R$2)</f>
        <v>1.04</v>
      </c>
      <c r="S60" s="8">
        <f>SUMIFS(Tabela1[IN001 - Densidade de economias de água por ligação],Tabela1[Ano de Referência],'Valuation (FCF) Guara'!S$2)</f>
        <v>1.07</v>
      </c>
      <c r="T60" s="8">
        <f>SUMIFS(Tabela1[IN001 - Densidade de economias de água por ligação],Tabela1[Ano de Referência],'Valuation (FCF) Guara'!T$2)</f>
        <v>1.07</v>
      </c>
      <c r="U60" s="8">
        <f>SUMIFS(Tabela1[IN001 - Densidade de economias de água por ligação],Tabela1[Ano de Referência],'Valuation (FCF) Guara'!U$2)</f>
        <v>1.06</v>
      </c>
      <c r="V60" s="8">
        <f>SUMIFS(Tabela1[IN001 - Densidade de economias de água por ligação],Tabela1[Ano de Referência],'Valuation (FCF) Guara'!V$2)</f>
        <v>1.03</v>
      </c>
      <c r="W60" s="8">
        <f>SUMIFS(Tabela1[IN001 - Densidade de economias de água por ligação],Tabela1[Ano de Referência],'Valuation (FCF) Guara'!W$2)</f>
        <v>1.03</v>
      </c>
      <c r="X60" s="8">
        <f>SUMIFS(Tabela1[IN001 - Densidade de economias de água por ligação],Tabela1[Ano de Referência],'Valuation (FCF) Guara'!X$2)</f>
        <v>1.06</v>
      </c>
      <c r="Y60" s="8">
        <f>SUMIFS(Tabela1[IN001 - Densidade de economias de água por ligação],Tabela1[Ano de Referência],'Valuation (FCF) Guara'!Y$2)</f>
        <v>1.06</v>
      </c>
      <c r="Z60" s="8">
        <f>SUMIFS(Tabela1[IN001 - Densidade de economias de água por ligação],Tabela1[Ano de Referência],'Valuation (FCF) Guara'!Z$2)</f>
        <v>1.06</v>
      </c>
      <c r="AA60" s="8"/>
      <c r="AB60" s="8">
        <f t="shared" si="48"/>
        <v>1.06</v>
      </c>
      <c r="AC60" s="8">
        <f t="shared" si="48"/>
        <v>1.06</v>
      </c>
      <c r="AD60" s="8">
        <f t="shared" si="48"/>
        <v>1.06</v>
      </c>
      <c r="AE60" s="8">
        <f t="shared" si="48"/>
        <v>1.06</v>
      </c>
      <c r="AF60" s="8">
        <f t="shared" si="48"/>
        <v>1.06</v>
      </c>
      <c r="AG60" s="8">
        <f t="shared" si="48"/>
        <v>1.06</v>
      </c>
      <c r="AH60" s="8">
        <f t="shared" si="48"/>
        <v>1.06</v>
      </c>
      <c r="AI60" s="8">
        <f t="shared" si="48"/>
        <v>1.06</v>
      </c>
      <c r="AJ60" s="8">
        <f t="shared" si="48"/>
        <v>1.06</v>
      </c>
      <c r="AK60" s="8">
        <f t="shared" si="48"/>
        <v>1.06</v>
      </c>
      <c r="AL60" s="8">
        <f t="shared" si="48"/>
        <v>1.06</v>
      </c>
      <c r="AM60" s="8">
        <f t="shared" si="48"/>
        <v>1.06</v>
      </c>
      <c r="AN60" s="8">
        <f t="shared" si="48"/>
        <v>1.06</v>
      </c>
      <c r="AO60" s="8">
        <f t="shared" si="48"/>
        <v>1.06</v>
      </c>
      <c r="AP60" s="8">
        <f t="shared" si="48"/>
        <v>1.06</v>
      </c>
      <c r="AQ60" s="8">
        <f t="shared" si="48"/>
        <v>1.06</v>
      </c>
      <c r="AR60" s="8">
        <f t="shared" si="49"/>
        <v>1.06</v>
      </c>
      <c r="AS60" s="8">
        <f t="shared" si="49"/>
        <v>1.06</v>
      </c>
      <c r="AT60" s="8">
        <f t="shared" si="49"/>
        <v>1.06</v>
      </c>
      <c r="AU60" s="8">
        <f t="shared" si="49"/>
        <v>1.06</v>
      </c>
      <c r="AV60" s="8">
        <f t="shared" si="49"/>
        <v>1.06</v>
      </c>
      <c r="AW60" s="8">
        <f t="shared" si="49"/>
        <v>1.06</v>
      </c>
      <c r="AX60" s="8">
        <f t="shared" si="49"/>
        <v>1.06</v>
      </c>
      <c r="AY60" s="8">
        <f t="shared" si="49"/>
        <v>1.06</v>
      </c>
      <c r="AZ60" s="8">
        <f t="shared" si="49"/>
        <v>1.06</v>
      </c>
      <c r="BA60" s="8">
        <f t="shared" si="49"/>
        <v>1.06</v>
      </c>
      <c r="BB60" s="8">
        <f t="shared" si="49"/>
        <v>1.06</v>
      </c>
      <c r="BC60" s="8">
        <f t="shared" si="49"/>
        <v>1.06</v>
      </c>
      <c r="BD60" s="8">
        <f t="shared" si="49"/>
        <v>1.06</v>
      </c>
      <c r="BE60" s="8">
        <f t="shared" si="49"/>
        <v>1.06</v>
      </c>
    </row>
    <row r="62" spans="2:57" x14ac:dyDescent="0.2">
      <c r="B62" t="s">
        <v>342</v>
      </c>
      <c r="O62" s="5">
        <f>SUMIFS(Tabela1[AG010 - Volume de água consumido],Tabela1[Ano de Referência],'Valuation (FCF) Guara'!O$2)</f>
        <v>1540</v>
      </c>
      <c r="P62" s="5">
        <f>SUMIFS(Tabela1[AG010 - Volume de água consumido],Tabela1[Ano de Referência],'Valuation (FCF) Guara'!P$2)</f>
        <v>1138</v>
      </c>
      <c r="Q62" s="5">
        <f>SUMIFS(Tabela1[AG010 - Volume de água consumido],Tabela1[Ano de Referência],'Valuation (FCF) Guara'!Q$2)</f>
        <v>1137</v>
      </c>
      <c r="R62" s="5">
        <f>SUMIFS(Tabela1[AG010 - Volume de água consumido],Tabela1[Ano de Referência],'Valuation (FCF) Guara'!R$2)</f>
        <v>1146</v>
      </c>
      <c r="S62" s="5">
        <f>SUMIFS(Tabela1[AG010 - Volume de água consumido],Tabela1[Ano de Referência],'Valuation (FCF) Guara'!S$2)</f>
        <v>1244.44</v>
      </c>
      <c r="T62" s="5">
        <f>SUMIFS(Tabela1[AG010 - Volume de água consumido],Tabela1[Ano de Referência],'Valuation (FCF) Guara'!T$2)</f>
        <v>1159.8900000000001</v>
      </c>
      <c r="U62" s="5">
        <f>SUMIFS(Tabela1[AG010 - Volume de água consumido],Tabela1[Ano de Referência],'Valuation (FCF) Guara'!U$2)</f>
        <v>1156.6099999999999</v>
      </c>
      <c r="V62" s="5">
        <f>SUMIFS(Tabela1[AG010 - Volume de água consumido],Tabela1[Ano de Referência],'Valuation (FCF) Guara'!V$2)</f>
        <v>1176.25</v>
      </c>
      <c r="W62" s="5">
        <f>SUMIFS(Tabela1[AG010 - Volume de água consumido],Tabela1[Ano de Referência],'Valuation (FCF) Guara'!W$2)</f>
        <v>1186.3599999999999</v>
      </c>
      <c r="X62" s="5">
        <f>SUMIFS(Tabela1[AG010 - Volume de água consumido],Tabela1[Ano de Referência],'Valuation (FCF) Guara'!X$2)</f>
        <v>1177.9000000000001</v>
      </c>
      <c r="Y62" s="5">
        <f>SUMIFS(Tabela1[AG010 - Volume de água consumido],Tabela1[Ano de Referência],'Valuation (FCF) Guara'!Y$2)</f>
        <v>1249.68</v>
      </c>
      <c r="Z62" s="5">
        <f>SUMIFS(Tabela1[AG010 - Volume de água consumido],Tabela1[Ano de Referência],'Valuation (FCF) Guara'!Z$2)</f>
        <v>1245.23</v>
      </c>
      <c r="AA62" s="5"/>
      <c r="AB62" s="5">
        <f>AB57*AB33*365/(1000*1000)</f>
        <v>1245.4007443574401</v>
      </c>
      <c r="AC62" s="5">
        <f t="shared" ref="AC62:BE62" si="50">AC57*AC33*365/(1000*1000)</f>
        <v>1268.4083052931474</v>
      </c>
      <c r="AD62" s="5">
        <f t="shared" si="50"/>
        <v>1286.3382406399564</v>
      </c>
      <c r="AE62" s="5">
        <f t="shared" si="50"/>
        <v>1304.2104337455453</v>
      </c>
      <c r="AF62" s="5">
        <f t="shared" si="50"/>
        <v>1322.0182559563234</v>
      </c>
      <c r="AG62" s="5">
        <f t="shared" si="50"/>
        <v>1339.7550613856968</v>
      </c>
      <c r="AH62" s="5">
        <f t="shared" si="50"/>
        <v>1344.0809084019972</v>
      </c>
      <c r="AI62" s="5">
        <f t="shared" si="50"/>
        <v>1348.2398972587946</v>
      </c>
      <c r="AJ62" s="5">
        <f t="shared" si="50"/>
        <v>1352.2303701416142</v>
      </c>
      <c r="AK62" s="5">
        <f t="shared" si="50"/>
        <v>1356.0507318969421</v>
      </c>
      <c r="AL62" s="5">
        <f t="shared" si="50"/>
        <v>1359.6994510929601</v>
      </c>
      <c r="AM62" s="5">
        <f t="shared" si="50"/>
        <v>1363.1750610408449</v>
      </c>
      <c r="AN62" s="5">
        <f t="shared" ref="AN62" si="51">AN57*AN33*365/(1000*1000)</f>
        <v>1366.4761607756727</v>
      </c>
      <c r="AO62" s="5">
        <f t="shared" si="50"/>
        <v>1369.6014159960184</v>
      </c>
      <c r="AP62" s="5">
        <f t="shared" si="50"/>
        <v>1372.5495599613685</v>
      </c>
      <c r="AQ62" s="5">
        <f t="shared" si="50"/>
        <v>1375.319394346498</v>
      </c>
      <c r="AR62" s="5">
        <f t="shared" si="50"/>
        <v>1377.9097900520128</v>
      </c>
      <c r="AS62" s="5">
        <f t="shared" si="50"/>
        <v>1380.3196879702878</v>
      </c>
      <c r="AT62" s="5">
        <f t="shared" si="50"/>
        <v>1382.5480997060761</v>
      </c>
      <c r="AU62" s="5">
        <f t="shared" si="50"/>
        <v>1384.5941082511015</v>
      </c>
      <c r="AV62" s="5">
        <f t="shared" si="50"/>
        <v>1386.4568686119924</v>
      </c>
      <c r="AW62" s="5">
        <f t="shared" si="50"/>
        <v>1388.1356083909573</v>
      </c>
      <c r="AX62" s="5">
        <f t="shared" si="50"/>
        <v>1389.6296283186416</v>
      </c>
      <c r="AY62" s="5">
        <f t="shared" si="50"/>
        <v>1390.938302738653</v>
      </c>
      <c r="AZ62" s="5">
        <f t="shared" si="50"/>
        <v>1392.0610800432851</v>
      </c>
      <c r="BA62" s="5">
        <f t="shared" si="50"/>
        <v>1392.9974830600218</v>
      </c>
      <c r="BB62" s="5">
        <f t="shared" si="50"/>
        <v>1393.7471093884312</v>
      </c>
      <c r="BC62" s="5">
        <f t="shared" si="50"/>
        <v>1394.3096316871333</v>
      </c>
      <c r="BD62" s="5">
        <f t="shared" si="50"/>
        <v>1394.6847979105396</v>
      </c>
      <c r="BE62" s="5">
        <f t="shared" si="50"/>
        <v>1394.8724314951405</v>
      </c>
    </row>
    <row r="63" spans="2:57" x14ac:dyDescent="0.2">
      <c r="B63" t="s">
        <v>343</v>
      </c>
      <c r="O63" s="5">
        <f>SUMIFS(Tabela1[AG006 - Volume de água produzido],Tabela1[Ano de Referência],'Valuation (FCF) Guara'!O$2)</f>
        <v>1870</v>
      </c>
      <c r="P63" s="5">
        <f>SUMIFS(Tabela1[AG006 - Volume de água produzido],Tabela1[Ano de Referência],'Valuation (FCF) Guara'!P$2)</f>
        <v>1442</v>
      </c>
      <c r="Q63" s="5">
        <f>SUMIFS(Tabela1[AG006 - Volume de água produzido],Tabela1[Ano de Referência],'Valuation (FCF) Guara'!Q$2)</f>
        <v>2000</v>
      </c>
      <c r="R63" s="5">
        <f>SUMIFS(Tabela1[AG006 - Volume de água produzido],Tabela1[Ano de Referência],'Valuation (FCF) Guara'!R$2)</f>
        <v>2000</v>
      </c>
      <c r="S63" s="5">
        <f>SUMIFS(Tabela1[AG006 - Volume de água produzido],Tabela1[Ano de Referência],'Valuation (FCF) Guara'!S$2)</f>
        <v>2127.7600000000002</v>
      </c>
      <c r="T63" s="5">
        <f>SUMIFS(Tabela1[AG006 - Volume de água produzido],Tabela1[Ano de Referência],'Valuation (FCF) Guara'!T$2)</f>
        <v>2080.66</v>
      </c>
      <c r="U63" s="5">
        <f>SUMIFS(Tabela1[AG006 - Volume de água produzido],Tabela1[Ano de Referência],'Valuation (FCF) Guara'!U$2)</f>
        <v>1990.99</v>
      </c>
      <c r="V63" s="5">
        <f>SUMIFS(Tabela1[AG006 - Volume de água produzido],Tabela1[Ano de Referência],'Valuation (FCF) Guara'!V$2)</f>
        <v>1960.43</v>
      </c>
      <c r="W63" s="5">
        <f>SUMIFS(Tabela1[AG006 - Volume de água produzido],Tabela1[Ano de Referência],'Valuation (FCF) Guara'!W$2)</f>
        <v>1880.2</v>
      </c>
      <c r="X63" s="5">
        <f>SUMIFS(Tabela1[AG006 - Volume de água produzido],Tabela1[Ano de Referência],'Valuation (FCF) Guara'!X$2)</f>
        <v>1940.81</v>
      </c>
      <c r="Y63" s="5">
        <f>SUMIFS(Tabela1[AG006 - Volume de água produzido],Tabela1[Ano de Referência],'Valuation (FCF) Guara'!Y$2)</f>
        <v>2124.9299999999998</v>
      </c>
      <c r="Z63" s="5">
        <f>SUMIFS(Tabela1[AG006 - Volume de água produzido],Tabela1[Ano de Referência],'Valuation (FCF) Guara'!Z$2)</f>
        <v>2250.46</v>
      </c>
      <c r="AA63" s="5"/>
      <c r="AB63" s="5">
        <f>AB62/(1-AB20)</f>
        <v>2250.8598307562629</v>
      </c>
      <c r="AC63" s="5">
        <f t="shared" ref="AC63:BE63" si="52">AC62/(1-AC20)</f>
        <v>2140.2677937586855</v>
      </c>
      <c r="AD63" s="5">
        <f t="shared" si="52"/>
        <v>2035.4097291685757</v>
      </c>
      <c r="AE63" s="5">
        <f t="shared" si="52"/>
        <v>1942.7552191883833</v>
      </c>
      <c r="AF63" s="5">
        <f t="shared" si="52"/>
        <v>1860.268280128787</v>
      </c>
      <c r="AG63" s="5">
        <f t="shared" si="52"/>
        <v>1786.3400818475957</v>
      </c>
      <c r="AH63" s="5">
        <f t="shared" si="52"/>
        <v>1792.1078778693297</v>
      </c>
      <c r="AI63" s="5">
        <f t="shared" si="52"/>
        <v>1797.6531963450595</v>
      </c>
      <c r="AJ63" s="5">
        <f t="shared" si="52"/>
        <v>1802.9738268554856</v>
      </c>
      <c r="AK63" s="5">
        <f t="shared" si="52"/>
        <v>1808.0676425292561</v>
      </c>
      <c r="AL63" s="5">
        <f t="shared" si="52"/>
        <v>1812.93260145728</v>
      </c>
      <c r="AM63" s="5">
        <f t="shared" si="52"/>
        <v>1817.5667480544598</v>
      </c>
      <c r="AN63" s="5">
        <f t="shared" ref="AN63" si="53">AN62/(1-AN20)</f>
        <v>1821.9682143675636</v>
      </c>
      <c r="AO63" s="5">
        <f t="shared" si="52"/>
        <v>1826.1352213280245</v>
      </c>
      <c r="AP63" s="5">
        <f t="shared" si="52"/>
        <v>1830.0660799484913</v>
      </c>
      <c r="AQ63" s="5">
        <f t="shared" si="52"/>
        <v>1833.7591924619974</v>
      </c>
      <c r="AR63" s="5">
        <f t="shared" si="52"/>
        <v>1837.2130534026837</v>
      </c>
      <c r="AS63" s="5">
        <f t="shared" si="52"/>
        <v>1840.4262506270504</v>
      </c>
      <c r="AT63" s="5">
        <f t="shared" si="52"/>
        <v>1843.397466274768</v>
      </c>
      <c r="AU63" s="5">
        <f t="shared" si="52"/>
        <v>1846.1254776681353</v>
      </c>
      <c r="AV63" s="5">
        <f t="shared" si="52"/>
        <v>1848.6091581493231</v>
      </c>
      <c r="AW63" s="5">
        <f t="shared" si="52"/>
        <v>1850.8474778546097</v>
      </c>
      <c r="AX63" s="5">
        <f t="shared" si="52"/>
        <v>1852.8395044248555</v>
      </c>
      <c r="AY63" s="5">
        <f t="shared" si="52"/>
        <v>1854.5844036515373</v>
      </c>
      <c r="AZ63" s="5">
        <f t="shared" si="52"/>
        <v>1856.0814400577135</v>
      </c>
      <c r="BA63" s="5">
        <f t="shared" si="52"/>
        <v>1857.3299774133623</v>
      </c>
      <c r="BB63" s="5">
        <f t="shared" si="52"/>
        <v>1858.3294791845749</v>
      </c>
      <c r="BC63" s="5">
        <f t="shared" si="52"/>
        <v>1859.0795089161777</v>
      </c>
      <c r="BD63" s="5">
        <f t="shared" si="52"/>
        <v>1859.5797305473861</v>
      </c>
      <c r="BE63" s="5">
        <f t="shared" si="52"/>
        <v>1859.8299086601874</v>
      </c>
    </row>
    <row r="64" spans="2:57" x14ac:dyDescent="0.2">
      <c r="B64" t="s">
        <v>344</v>
      </c>
      <c r="O64" s="5">
        <f>SUMIFS(Tabela1[ES005 - Volume de esgotos coletado],Tabela1[Ano de Referência],'Valuation (FCF) Guara'!O$2)</f>
        <v>1510</v>
      </c>
      <c r="P64" s="5">
        <f>SUMIFS(Tabela1[ES005 - Volume de esgotos coletado],Tabela1[Ano de Referência],'Valuation (FCF) Guara'!P$2)</f>
        <v>1138</v>
      </c>
      <c r="Q64" s="5">
        <f>SUMIFS(Tabela1[ES005 - Volume de esgotos coletado],Tabela1[Ano de Referência],'Valuation (FCF) Guara'!Q$2)</f>
        <v>909.6</v>
      </c>
      <c r="R64" s="5">
        <f>SUMIFS(Tabela1[ES005 - Volume de esgotos coletado],Tabela1[Ano de Referência],'Valuation (FCF) Guara'!R$2)</f>
        <v>916.8</v>
      </c>
      <c r="S64" s="5">
        <f>SUMIFS(Tabela1[ES005 - Volume de esgotos coletado],Tabela1[Ano de Referência],'Valuation (FCF) Guara'!S$2)</f>
        <v>995.52</v>
      </c>
      <c r="T64" s="5">
        <f>SUMIFS(Tabela1[ES005 - Volume de esgotos coletado],Tabela1[Ano de Referência],'Valuation (FCF) Guara'!T$2)</f>
        <v>927.91</v>
      </c>
      <c r="U64" s="5">
        <f>SUMIFS(Tabela1[ES005 - Volume de esgotos coletado],Tabela1[Ano de Referência],'Valuation (FCF) Guara'!U$2)</f>
        <v>1156.6099999999999</v>
      </c>
      <c r="V64" s="5">
        <f>SUMIFS(Tabela1[ES005 - Volume de esgotos coletado],Tabela1[Ano de Referência],'Valuation (FCF) Guara'!V$2)</f>
        <v>1260</v>
      </c>
      <c r="W64" s="5">
        <f>SUMIFS(Tabela1[ES005 - Volume de esgotos coletado],Tabela1[Ano de Referência],'Valuation (FCF) Guara'!W$2)</f>
        <v>1186</v>
      </c>
      <c r="X64" s="5">
        <f>SUMIFS(Tabela1[ES005 - Volume de esgotos coletado],Tabela1[Ano de Referência],'Valuation (FCF) Guara'!X$2)</f>
        <v>1000</v>
      </c>
      <c r="Y64" s="5">
        <f>SUMIFS(Tabela1[ES005 - Volume de esgotos coletado],Tabela1[Ano de Referência],'Valuation (FCF) Guara'!Y$2)</f>
        <v>1187.21</v>
      </c>
      <c r="Z64" s="5">
        <f>SUMIFS(Tabela1[ES005 - Volume de esgotos coletado],Tabela1[Ano de Referência],'Valuation (FCF) Guara'!Z$2)</f>
        <v>1794.73</v>
      </c>
      <c r="AA64" s="5"/>
      <c r="AB64" s="5">
        <f>AB62*AB66</f>
        <v>1058.590632703824</v>
      </c>
      <c r="AC64" s="5">
        <f t="shared" ref="AC64:BE64" si="54">AC62*AC66</f>
        <v>1078.1470594991752</v>
      </c>
      <c r="AD64" s="5">
        <f t="shared" si="54"/>
        <v>1093.3875045439629</v>
      </c>
      <c r="AE64" s="5">
        <f t="shared" si="54"/>
        <v>1108.5788686837134</v>
      </c>
      <c r="AF64" s="5">
        <f t="shared" si="54"/>
        <v>1123.7155175628748</v>
      </c>
      <c r="AG64" s="5">
        <f t="shared" si="54"/>
        <v>1144.8815979114136</v>
      </c>
      <c r="AH64" s="5">
        <f t="shared" si="54"/>
        <v>1154.6876894908066</v>
      </c>
      <c r="AI64" s="5">
        <f t="shared" si="54"/>
        <v>1164.3890021780499</v>
      </c>
      <c r="AJ64" s="5">
        <f t="shared" si="54"/>
        <v>1173.9818213502194</v>
      </c>
      <c r="AK64" s="5">
        <f t="shared" si="54"/>
        <v>1183.4624569282403</v>
      </c>
      <c r="AL64" s="5">
        <f t="shared" si="54"/>
        <v>1192.8272457315511</v>
      </c>
      <c r="AM64" s="5">
        <f t="shared" si="54"/>
        <v>1202.0725538269267</v>
      </c>
      <c r="AN64" s="5">
        <f t="shared" ref="AN64" si="55">AN62*AN66</f>
        <v>1211.194778869346</v>
      </c>
      <c r="AO64" s="5">
        <f t="shared" si="54"/>
        <v>1220.1903524328161</v>
      </c>
      <c r="AP64" s="5">
        <f t="shared" si="54"/>
        <v>1229.0557423290431</v>
      </c>
      <c r="AQ64" s="5">
        <f t="shared" si="54"/>
        <v>1237.7874549118483</v>
      </c>
      <c r="AR64" s="5">
        <f t="shared" si="54"/>
        <v>1240.1188110468115</v>
      </c>
      <c r="AS64" s="5">
        <f t="shared" si="54"/>
        <v>1242.2877191732591</v>
      </c>
      <c r="AT64" s="5">
        <f t="shared" si="54"/>
        <v>1244.2932897354685</v>
      </c>
      <c r="AU64" s="5">
        <f t="shared" si="54"/>
        <v>1246.1346974259914</v>
      </c>
      <c r="AV64" s="5">
        <f t="shared" si="54"/>
        <v>1247.8111817507931</v>
      </c>
      <c r="AW64" s="5">
        <f t="shared" si="54"/>
        <v>1249.3220475518615</v>
      </c>
      <c r="AX64" s="5">
        <f t="shared" si="54"/>
        <v>1250.6666654867774</v>
      </c>
      <c r="AY64" s="5">
        <f t="shared" si="54"/>
        <v>1251.8444724647877</v>
      </c>
      <c r="AZ64" s="5">
        <f t="shared" si="54"/>
        <v>1252.8549720389567</v>
      </c>
      <c r="BA64" s="5">
        <f t="shared" si="54"/>
        <v>1253.6977347540196</v>
      </c>
      <c r="BB64" s="5">
        <f t="shared" si="54"/>
        <v>1254.3723984495882</v>
      </c>
      <c r="BC64" s="5">
        <f t="shared" si="54"/>
        <v>1254.87866851842</v>
      </c>
      <c r="BD64" s="5">
        <f t="shared" si="54"/>
        <v>1255.2163181194858</v>
      </c>
      <c r="BE64" s="5">
        <f t="shared" si="54"/>
        <v>1255.3851883456266</v>
      </c>
    </row>
    <row r="65" spans="2:57" x14ac:dyDescent="0.2"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</row>
    <row r="66" spans="2:57" x14ac:dyDescent="0.2">
      <c r="B66" t="s">
        <v>347</v>
      </c>
      <c r="I66">
        <v>5</v>
      </c>
      <c r="J66">
        <v>15</v>
      </c>
      <c r="K66" s="10">
        <v>0.85</v>
      </c>
      <c r="L66" s="10">
        <v>0.9</v>
      </c>
      <c r="O66" s="3">
        <f>O64/O62</f>
        <v>0.98051948051948057</v>
      </c>
      <c r="P66" s="3">
        <f t="shared" ref="P66:Z66" si="56">P64/P62</f>
        <v>1</v>
      </c>
      <c r="Q66" s="3">
        <f t="shared" si="56"/>
        <v>0.8</v>
      </c>
      <c r="R66" s="3">
        <f t="shared" si="56"/>
        <v>0.79999999999999993</v>
      </c>
      <c r="S66" s="3">
        <f t="shared" si="56"/>
        <v>0.79997428562244866</v>
      </c>
      <c r="T66" s="3">
        <f t="shared" si="56"/>
        <v>0.79999827569855753</v>
      </c>
      <c r="U66" s="3">
        <f t="shared" si="56"/>
        <v>1</v>
      </c>
      <c r="V66" s="3">
        <f t="shared" si="56"/>
        <v>1.0712008501594048</v>
      </c>
      <c r="W66" s="3">
        <f t="shared" si="56"/>
        <v>0.99969655079402553</v>
      </c>
      <c r="X66" s="3">
        <f t="shared" si="56"/>
        <v>0.84896850326852868</v>
      </c>
      <c r="Y66" s="3">
        <f t="shared" si="56"/>
        <v>0.95001120286793417</v>
      </c>
      <c r="Z66" s="3">
        <f t="shared" si="56"/>
        <v>1.4412839395131822</v>
      </c>
      <c r="AA66" s="5"/>
      <c r="AB66" s="129">
        <f>IF(AND($I66&lt;AB$3,AB$3&lt;=$J66),AA66+($L66-$K66)/($J66-$I66+1),IF($I66&gt;=AB$3,$K66,$L66))</f>
        <v>0.85</v>
      </c>
      <c r="AC66" s="129">
        <f t="shared" ref="AC66" si="57">IF(AND($I66&lt;AC$3,AC$3&lt;=$J66),AB66+($L66-$K66)/($J66-$I66+1),IF($I66&gt;=AC$3,$K66,$L66))</f>
        <v>0.85</v>
      </c>
      <c r="AD66" s="129">
        <f t="shared" ref="AD66" si="58">IF(AND($I66&lt;AD$3,AD$3&lt;=$J66),AC66+($L66-$K66)/($J66-$I66+1),IF($I66&gt;=AD$3,$K66,$L66))</f>
        <v>0.85</v>
      </c>
      <c r="AE66" s="129">
        <f t="shared" ref="AE66" si="59">IF(AND($I66&lt;AE$3,AE$3&lt;=$J66),AD66+($L66-$K66)/($J66-$I66+1),IF($I66&gt;=AE$3,$K66,$L66))</f>
        <v>0.85</v>
      </c>
      <c r="AF66" s="129">
        <f t="shared" ref="AF66" si="60">IF(AND($I66&lt;AF$3,AF$3&lt;=$J66),AE66+($L66-$K66)/($J66-$I66+1),IF($I66&gt;=AF$3,$K66,$L66))</f>
        <v>0.85</v>
      </c>
      <c r="AG66" s="129">
        <f t="shared" ref="AG66" si="61">IF(AND($I66&lt;AG$3,AG$3&lt;=$J66),AF66+($L66-$K66)/($J66-$I66+1),IF($I66&gt;=AG$3,$K66,$L66))</f>
        <v>0.8545454545454545</v>
      </c>
      <c r="AH66" s="129">
        <f t="shared" ref="AH66" si="62">IF(AND($I66&lt;AH$3,AH$3&lt;=$J66),AG66+($L66-$K66)/($J66-$I66+1),IF($I66&gt;=AH$3,$K66,$L66))</f>
        <v>0.85909090909090902</v>
      </c>
      <c r="AI66" s="129">
        <f t="shared" ref="AI66" si="63">IF(AND($I66&lt;AI$3,AI$3&lt;=$J66),AH66+($L66-$K66)/($J66-$I66+1),IF($I66&gt;=AI$3,$K66,$L66))</f>
        <v>0.86363636363636354</v>
      </c>
      <c r="AJ66" s="129">
        <f t="shared" ref="AJ66" si="64">IF(AND($I66&lt;AJ$3,AJ$3&lt;=$J66),AI66+($L66-$K66)/($J66-$I66+1),IF($I66&gt;=AJ$3,$K66,$L66))</f>
        <v>0.86818181818181805</v>
      </c>
      <c r="AK66" s="129">
        <f t="shared" ref="AK66" si="65">IF(AND($I66&lt;AK$3,AK$3&lt;=$J66),AJ66+($L66-$K66)/($J66-$I66+1),IF($I66&gt;=AK$3,$K66,$L66))</f>
        <v>0.87272727272727257</v>
      </c>
      <c r="AL66" s="129">
        <f t="shared" ref="AL66" si="66">IF(AND($I66&lt;AL$3,AL$3&lt;=$J66),AK66+($L66-$K66)/($J66-$I66+1),IF($I66&gt;=AL$3,$K66,$L66))</f>
        <v>0.87727272727272709</v>
      </c>
      <c r="AM66" s="129">
        <f t="shared" ref="AM66:AN66" si="67">IF(AND($I66&lt;AM$3,AM$3&lt;=$J66),AL66+($L66-$K66)/($J66-$I66+1),IF($I66&gt;=AM$3,$K66,$L66))</f>
        <v>0.88181818181818161</v>
      </c>
      <c r="AN66" s="129">
        <f t="shared" si="67"/>
        <v>0.88636363636363613</v>
      </c>
      <c r="AO66" s="129">
        <f t="shared" ref="AO66" si="68">IF(AND($I66&lt;AO$3,AO$3&lt;=$J66),AN66+($L66-$K66)/($J66-$I66+1),IF($I66&gt;=AO$3,$K66,$L66))</f>
        <v>0.89090909090909065</v>
      </c>
      <c r="AP66" s="129">
        <f t="shared" ref="AP66" si="69">IF(AND($I66&lt;AP$3,AP$3&lt;=$J66),AO66+($L66-$K66)/($J66-$I66+1),IF($I66&gt;=AP$3,$K66,$L66))</f>
        <v>0.89545454545454517</v>
      </c>
      <c r="AQ66" s="129">
        <f t="shared" ref="AQ66" si="70">IF(AND($I66&lt;AQ$3,AQ$3&lt;=$J66),AP66+($L66-$K66)/($J66-$I66+1),IF($I66&gt;=AQ$3,$K66,$L66))</f>
        <v>0.9</v>
      </c>
      <c r="AR66" s="129">
        <f t="shared" ref="AR66" si="71">IF(AND($I66&lt;AR$3,AR$3&lt;=$J66),AQ66+($L66-$K66)/($J66-$I66+1),IF($I66&gt;=AR$3,$K66,$L66))</f>
        <v>0.9</v>
      </c>
      <c r="AS66" s="129">
        <f t="shared" ref="AS66" si="72">IF(AND($I66&lt;AS$3,AS$3&lt;=$J66),AR66+($L66-$K66)/($J66-$I66+1),IF($I66&gt;=AS$3,$K66,$L66))</f>
        <v>0.9</v>
      </c>
      <c r="AT66" s="129">
        <f t="shared" ref="AT66" si="73">IF(AND($I66&lt;AT$3,AT$3&lt;=$J66),AS66+($L66-$K66)/($J66-$I66+1),IF($I66&gt;=AT$3,$K66,$L66))</f>
        <v>0.9</v>
      </c>
      <c r="AU66" s="129">
        <f t="shared" ref="AU66" si="74">IF(AND($I66&lt;AU$3,AU$3&lt;=$J66),AT66+($L66-$K66)/($J66-$I66+1),IF($I66&gt;=AU$3,$K66,$L66))</f>
        <v>0.9</v>
      </c>
      <c r="AV66" s="129">
        <f t="shared" ref="AV66" si="75">IF(AND($I66&lt;AV$3,AV$3&lt;=$J66),AU66+($L66-$K66)/($J66-$I66+1),IF($I66&gt;=AV$3,$K66,$L66))</f>
        <v>0.9</v>
      </c>
      <c r="AW66" s="129">
        <f t="shared" ref="AW66" si="76">IF(AND($I66&lt;AW$3,AW$3&lt;=$J66),AV66+($L66-$K66)/($J66-$I66+1),IF($I66&gt;=AW$3,$K66,$L66))</f>
        <v>0.9</v>
      </c>
      <c r="AX66" s="129">
        <f t="shared" ref="AX66" si="77">IF(AND($I66&lt;AX$3,AX$3&lt;=$J66),AW66+($L66-$K66)/($J66-$I66+1),IF($I66&gt;=AX$3,$K66,$L66))</f>
        <v>0.9</v>
      </c>
      <c r="AY66" s="129">
        <f t="shared" ref="AY66" si="78">IF(AND($I66&lt;AY$3,AY$3&lt;=$J66),AX66+($L66-$K66)/($J66-$I66+1),IF($I66&gt;=AY$3,$K66,$L66))</f>
        <v>0.9</v>
      </c>
      <c r="AZ66" s="129">
        <f t="shared" ref="AZ66" si="79">IF(AND($I66&lt;AZ$3,AZ$3&lt;=$J66),AY66+($L66-$K66)/($J66-$I66+1),IF($I66&gt;=AZ$3,$K66,$L66))</f>
        <v>0.9</v>
      </c>
      <c r="BA66" s="129">
        <f t="shared" ref="BA66" si="80">IF(AND($I66&lt;BA$3,BA$3&lt;=$J66),AZ66+($L66-$K66)/($J66-$I66+1),IF($I66&gt;=BA$3,$K66,$L66))</f>
        <v>0.9</v>
      </c>
      <c r="BB66" s="129">
        <f t="shared" ref="BB66" si="81">IF(AND($I66&lt;BB$3,BB$3&lt;=$J66),BA66+($L66-$K66)/($J66-$I66+1),IF($I66&gt;=BB$3,$K66,$L66))</f>
        <v>0.9</v>
      </c>
      <c r="BC66" s="129">
        <f t="shared" ref="BC66" si="82">IF(AND($I66&lt;BC$3,BC$3&lt;=$J66),BB66+($L66-$K66)/($J66-$I66+1),IF($I66&gt;=BC$3,$K66,$L66))</f>
        <v>0.9</v>
      </c>
      <c r="BD66" s="129">
        <f t="shared" ref="BD66" si="83">IF(AND($I66&lt;BD$3,BD$3&lt;=$J66),BC66+($L66-$K66)/($J66-$I66+1),IF($I66&gt;=BD$3,$K66,$L66))</f>
        <v>0.9</v>
      </c>
      <c r="BE66" s="129">
        <f t="shared" ref="BE66" si="84">IF(AND($I66&lt;BE$3,BE$3&lt;=$J66),BD66+($L66-$K66)/($J66-$I66+1),IF($I66&gt;=BE$3,$K66,$L66))</f>
        <v>0.9</v>
      </c>
    </row>
    <row r="68" spans="2:57" s="9" customFormat="1" x14ac:dyDescent="0.2">
      <c r="B68" s="9" t="s">
        <v>264</v>
      </c>
      <c r="K68" s="25"/>
    </row>
    <row r="69" spans="2:57" x14ac:dyDescent="0.2">
      <c r="B69" s="4"/>
    </row>
    <row r="70" spans="2:57" x14ac:dyDescent="0.2">
      <c r="B70" s="4" t="s">
        <v>271</v>
      </c>
    </row>
    <row r="71" spans="2:57" x14ac:dyDescent="0.2">
      <c r="B71" t="s">
        <v>265</v>
      </c>
      <c r="O71" s="5">
        <f>SUMIFS(Tabela1[FN010 - Despesa com pessoal próprio],Tabela1[Ano de Referência],'Valuation (FCF) Guara'!O$2)</f>
        <v>275349</v>
      </c>
      <c r="P71" s="5">
        <f>SUMIFS(Tabela1[FN010 - Despesa com pessoal próprio],Tabela1[Ano de Referência],'Valuation (FCF) Guara'!P$2)</f>
        <v>366897.41</v>
      </c>
      <c r="Q71" s="5">
        <f>SUMIFS(Tabela1[FN010 - Despesa com pessoal próprio],Tabela1[Ano de Referência],'Valuation (FCF) Guara'!Q$2)</f>
        <v>330581.56</v>
      </c>
      <c r="R71" s="5">
        <f>SUMIFS(Tabela1[FN010 - Despesa com pessoal próprio],Tabela1[Ano de Referência],'Valuation (FCF) Guara'!R$2)</f>
        <v>468401.57</v>
      </c>
      <c r="S71" s="5">
        <f>SUMIFS(Tabela1[FN010 - Despesa com pessoal próprio],Tabela1[Ano de Referência],'Valuation (FCF) Guara'!S$2)</f>
        <v>702261.66</v>
      </c>
      <c r="T71" s="5">
        <f>SUMIFS(Tabela1[FN010 - Despesa com pessoal próprio],Tabela1[Ano de Referência],'Valuation (FCF) Guara'!T$2)</f>
        <v>923184.2</v>
      </c>
      <c r="U71" s="5">
        <f>SUMIFS(Tabela1[FN010 - Despesa com pessoal próprio],Tabela1[Ano de Referência],'Valuation (FCF) Guara'!U$2)</f>
        <v>811243.51</v>
      </c>
      <c r="V71" s="5">
        <f>SUMIFS(Tabela1[FN010 - Despesa com pessoal próprio],Tabela1[Ano de Referência],'Valuation (FCF) Guara'!V$2)</f>
        <v>860156.15</v>
      </c>
      <c r="W71" s="5">
        <f>SUMIFS(Tabela1[FN010 - Despesa com pessoal próprio],Tabela1[Ano de Referência],'Valuation (FCF) Guara'!W$2)</f>
        <v>1022559.07</v>
      </c>
      <c r="X71" s="5">
        <f>SUMIFS(Tabela1[FN010 - Despesa com pessoal próprio],Tabela1[Ano de Referência],'Valuation (FCF) Guara'!X$2)</f>
        <v>912959.67</v>
      </c>
      <c r="Y71" s="5">
        <f>SUMIFS(Tabela1[FN010 - Despesa com pessoal próprio],Tabela1[Ano de Referência],'Valuation (FCF) Guara'!Y$2)</f>
        <v>977329.6</v>
      </c>
      <c r="Z71" s="5">
        <f>SUMIFS(Tabela1[FN010 - Despesa com pessoal próprio],Tabela1[Ano de Referência],'Valuation (FCF) Guara'!Z$2)</f>
        <v>1206566.92</v>
      </c>
      <c r="AB71" s="1">
        <f>SUMIFS('[1]Resumo Modelo Financ'!$17:$17,'[1]Resumo Modelo Financ'!$13:$13,AB$3)+SUMIFS('[1]Resumo Modelo Financ'!$19:$19,'[1]Resumo Modelo Financ'!$13:$13,AB$3)</f>
        <v>1371216.2441838544</v>
      </c>
      <c r="AC71" s="1">
        <f>SUMIFS('[1]Resumo Modelo Financ'!$17:$17,'[1]Resumo Modelo Financ'!$13:$13,AC$3)+SUMIFS('[1]Resumo Modelo Financ'!$19:$19,'[1]Resumo Modelo Financ'!$13:$13,AC$3)</f>
        <v>1371216.2441838544</v>
      </c>
      <c r="AD71" s="1">
        <f>SUMIFS('[1]Resumo Modelo Financ'!$17:$17,'[1]Resumo Modelo Financ'!$13:$13,AD$3)+SUMIFS('[1]Resumo Modelo Financ'!$19:$19,'[1]Resumo Modelo Financ'!$13:$13,AD$3)</f>
        <v>1371216.2441838544</v>
      </c>
      <c r="AE71" s="1">
        <f>SUMIFS('[1]Resumo Modelo Financ'!$17:$17,'[1]Resumo Modelo Financ'!$13:$13,AE$3)+SUMIFS('[1]Resumo Modelo Financ'!$19:$19,'[1]Resumo Modelo Financ'!$13:$13,AE$3)</f>
        <v>1433024.3984238545</v>
      </c>
      <c r="AF71" s="1">
        <f>SUMIFS('[1]Resumo Modelo Financ'!$17:$17,'[1]Resumo Modelo Financ'!$13:$13,AF$3)+SUMIFS('[1]Resumo Modelo Financ'!$19:$19,'[1]Resumo Modelo Financ'!$13:$13,AF$3)</f>
        <v>1433024.3984238545</v>
      </c>
      <c r="AG71" s="1">
        <f>SUMIFS('[1]Resumo Modelo Financ'!$17:$17,'[1]Resumo Modelo Financ'!$13:$13,AG$3)+SUMIFS('[1]Resumo Modelo Financ'!$19:$19,'[1]Resumo Modelo Financ'!$13:$13,AG$3)</f>
        <v>1433024.3984238545</v>
      </c>
      <c r="AH71" s="1">
        <f>SUMIFS('[1]Resumo Modelo Financ'!$17:$17,'[1]Resumo Modelo Financ'!$13:$13,AH$3)+SUMIFS('[1]Resumo Modelo Financ'!$19:$19,'[1]Resumo Modelo Financ'!$13:$13,AH$3)</f>
        <v>1433024.3984238545</v>
      </c>
      <c r="AI71" s="1">
        <f>SUMIFS('[1]Resumo Modelo Financ'!$17:$17,'[1]Resumo Modelo Financ'!$13:$13,AI$3)+SUMIFS('[1]Resumo Modelo Financ'!$19:$19,'[1]Resumo Modelo Financ'!$13:$13,AI$3)</f>
        <v>1433024.3984238545</v>
      </c>
      <c r="AJ71" s="1">
        <f>SUMIFS('[1]Resumo Modelo Financ'!$17:$17,'[1]Resumo Modelo Financ'!$13:$13,AJ$3)+SUMIFS('[1]Resumo Modelo Financ'!$19:$19,'[1]Resumo Modelo Financ'!$13:$13,AJ$3)</f>
        <v>1433024.3984238545</v>
      </c>
      <c r="AK71" s="1">
        <f>SUMIFS('[1]Resumo Modelo Financ'!$17:$17,'[1]Resumo Modelo Financ'!$13:$13,AK$3)+SUMIFS('[1]Resumo Modelo Financ'!$19:$19,'[1]Resumo Modelo Financ'!$13:$13,AK$3)</f>
        <v>1433024.3984238545</v>
      </c>
      <c r="AL71" s="1">
        <f>SUMIFS('[1]Resumo Modelo Financ'!$17:$17,'[1]Resumo Modelo Financ'!$13:$13,AL$3)+SUMIFS('[1]Resumo Modelo Financ'!$19:$19,'[1]Resumo Modelo Financ'!$13:$13,AL$3)</f>
        <v>1433024.3984238545</v>
      </c>
      <c r="AM71" s="1">
        <f>SUMIFS('[1]Resumo Modelo Financ'!$17:$17,'[1]Resumo Modelo Financ'!$13:$13,AM$3)+SUMIFS('[1]Resumo Modelo Financ'!$19:$19,'[1]Resumo Modelo Financ'!$13:$13,AM$3)</f>
        <v>1433024.3984238545</v>
      </c>
      <c r="AN71" s="1">
        <f>SUMIFS('[1]Resumo Modelo Financ'!$17:$17,'[1]Resumo Modelo Financ'!$13:$13,AN$3)+SUMIFS('[1]Resumo Modelo Financ'!$19:$19,'[1]Resumo Modelo Financ'!$13:$13,AN$3)</f>
        <v>1433024.3984238545</v>
      </c>
      <c r="AO71" s="1">
        <f>SUMIFS('[1]Resumo Modelo Financ'!$17:$17,'[1]Resumo Modelo Financ'!$13:$13,AO$3)+SUMIFS('[1]Resumo Modelo Financ'!$19:$19,'[1]Resumo Modelo Financ'!$13:$13,AO$3)</f>
        <v>1433024.3984238545</v>
      </c>
      <c r="AP71" s="1">
        <f>SUMIFS('[1]Resumo Modelo Financ'!$17:$17,'[1]Resumo Modelo Financ'!$13:$13,AP$3)+SUMIFS('[1]Resumo Modelo Financ'!$19:$19,'[1]Resumo Modelo Financ'!$13:$13,AP$3)</f>
        <v>1433024.3984238545</v>
      </c>
      <c r="AQ71" s="1">
        <f>SUMIFS('[1]Resumo Modelo Financ'!$17:$17,'[1]Resumo Modelo Financ'!$13:$13,AQ$3)+SUMIFS('[1]Resumo Modelo Financ'!$19:$19,'[1]Resumo Modelo Financ'!$13:$13,AQ$3)</f>
        <v>1433024.3984238545</v>
      </c>
      <c r="AR71" s="1">
        <f>SUMIFS('[1]Resumo Modelo Financ'!$17:$17,'[1]Resumo Modelo Financ'!$13:$13,AR$3)+SUMIFS('[1]Resumo Modelo Financ'!$19:$19,'[1]Resumo Modelo Financ'!$13:$13,AR$3)</f>
        <v>1433024.3984238545</v>
      </c>
      <c r="AS71" s="1">
        <f>SUMIFS('[1]Resumo Modelo Financ'!$17:$17,'[1]Resumo Modelo Financ'!$13:$13,AS$3)+SUMIFS('[1]Resumo Modelo Financ'!$19:$19,'[1]Resumo Modelo Financ'!$13:$13,AS$3)</f>
        <v>1433024.3984238545</v>
      </c>
      <c r="AT71" s="1">
        <f>SUMIFS('[1]Resumo Modelo Financ'!$17:$17,'[1]Resumo Modelo Financ'!$13:$13,AT$3)+SUMIFS('[1]Resumo Modelo Financ'!$19:$19,'[1]Resumo Modelo Financ'!$13:$13,AT$3)</f>
        <v>1433024.3984238545</v>
      </c>
      <c r="AU71" s="1">
        <f>SUMIFS('[1]Resumo Modelo Financ'!$17:$17,'[1]Resumo Modelo Financ'!$13:$13,AU$3)+SUMIFS('[1]Resumo Modelo Financ'!$19:$19,'[1]Resumo Modelo Financ'!$13:$13,AU$3)</f>
        <v>1433024.3984238545</v>
      </c>
      <c r="AV71" s="1">
        <f>SUMIFS('[1]Resumo Modelo Financ'!$17:$17,'[1]Resumo Modelo Financ'!$13:$13,AV$3)+SUMIFS('[1]Resumo Modelo Financ'!$19:$19,'[1]Resumo Modelo Financ'!$13:$13,AV$3)</f>
        <v>1433024.3984238545</v>
      </c>
      <c r="AW71" s="1">
        <f>SUMIFS('[1]Resumo Modelo Financ'!$17:$17,'[1]Resumo Modelo Financ'!$13:$13,AW$3)+SUMIFS('[1]Resumo Modelo Financ'!$19:$19,'[1]Resumo Modelo Financ'!$13:$13,AW$3)</f>
        <v>1433024.3984238545</v>
      </c>
      <c r="AX71" s="1">
        <f>SUMIFS('[1]Resumo Modelo Financ'!$17:$17,'[1]Resumo Modelo Financ'!$13:$13,AX$3)+SUMIFS('[1]Resumo Modelo Financ'!$19:$19,'[1]Resumo Modelo Financ'!$13:$13,AX$3)</f>
        <v>1433024.3984238545</v>
      </c>
      <c r="AY71" s="1">
        <f>SUMIFS('[1]Resumo Modelo Financ'!$17:$17,'[1]Resumo Modelo Financ'!$13:$13,AY$3)+SUMIFS('[1]Resumo Modelo Financ'!$19:$19,'[1]Resumo Modelo Financ'!$13:$13,AY$3)</f>
        <v>1433024.3984238545</v>
      </c>
      <c r="AZ71" s="1">
        <f>SUMIFS('[1]Resumo Modelo Financ'!$17:$17,'[1]Resumo Modelo Financ'!$13:$13,AZ$3)+SUMIFS('[1]Resumo Modelo Financ'!$19:$19,'[1]Resumo Modelo Financ'!$13:$13,AZ$3)</f>
        <v>1433024.3984238545</v>
      </c>
      <c r="BA71" s="1">
        <f>SUMIFS('[1]Resumo Modelo Financ'!$17:$17,'[1]Resumo Modelo Financ'!$13:$13,BA$3)+SUMIFS('[1]Resumo Modelo Financ'!$19:$19,'[1]Resumo Modelo Financ'!$13:$13,BA$3)</f>
        <v>1433024.3984238545</v>
      </c>
      <c r="BB71" s="1">
        <f>SUMIFS('[1]Resumo Modelo Financ'!$17:$17,'[1]Resumo Modelo Financ'!$13:$13,BB$3)+SUMIFS('[1]Resumo Modelo Financ'!$19:$19,'[1]Resumo Modelo Financ'!$13:$13,BB$3)</f>
        <v>1433024.3984238545</v>
      </c>
      <c r="BC71" s="1">
        <f>SUMIFS('[1]Resumo Modelo Financ'!$17:$17,'[1]Resumo Modelo Financ'!$13:$13,BC$3)+SUMIFS('[1]Resumo Modelo Financ'!$19:$19,'[1]Resumo Modelo Financ'!$13:$13,BC$3)</f>
        <v>1433024.3984238545</v>
      </c>
      <c r="BD71" s="1">
        <f>SUMIFS('[1]Resumo Modelo Financ'!$17:$17,'[1]Resumo Modelo Financ'!$13:$13,BD$3)+SUMIFS('[1]Resumo Modelo Financ'!$19:$19,'[1]Resumo Modelo Financ'!$13:$13,BD$3)</f>
        <v>1433024.3984238545</v>
      </c>
      <c r="BE71" s="1">
        <f>SUMIFS('[1]Resumo Modelo Financ'!$17:$17,'[1]Resumo Modelo Financ'!$13:$13,BE$3)+SUMIFS('[1]Resumo Modelo Financ'!$19:$19,'[1]Resumo Modelo Financ'!$13:$13,BE$3)</f>
        <v>1433024.3984238545</v>
      </c>
    </row>
    <row r="72" spans="2:57" x14ac:dyDescent="0.2">
      <c r="B72" t="s">
        <v>267</v>
      </c>
      <c r="O72" s="5">
        <f>SUMIFS(Tabela1[FN011 - Despesa com produtos químicos],Tabela1[Ano de Referência],'Valuation (FCF) Guara'!O$2)</f>
        <v>19589</v>
      </c>
      <c r="P72" s="5">
        <f>SUMIFS(Tabela1[FN011 - Despesa com produtos químicos],Tabela1[Ano de Referência],'Valuation (FCF) Guara'!P$2)</f>
        <v>19043.72</v>
      </c>
      <c r="Q72" s="5">
        <f>SUMIFS(Tabela1[FN011 - Despesa com produtos químicos],Tabela1[Ano de Referência],'Valuation (FCF) Guara'!Q$2)</f>
        <v>19335.060000000001</v>
      </c>
      <c r="R72" s="5">
        <f>SUMIFS(Tabela1[FN011 - Despesa com produtos químicos],Tabela1[Ano de Referência],'Valuation (FCF) Guara'!R$2)</f>
        <v>20581.48</v>
      </c>
      <c r="S72" s="5">
        <f>SUMIFS(Tabela1[FN011 - Despesa com produtos químicos],Tabela1[Ano de Referência],'Valuation (FCF) Guara'!S$2)</f>
        <v>93413.7</v>
      </c>
      <c r="T72" s="5">
        <f>SUMIFS(Tabela1[FN011 - Despesa com produtos químicos],Tabela1[Ano de Referência],'Valuation (FCF) Guara'!T$2)</f>
        <v>129732.7</v>
      </c>
      <c r="U72" s="5">
        <f>SUMIFS(Tabela1[FN011 - Despesa com produtos químicos],Tabela1[Ano de Referência],'Valuation (FCF) Guara'!U$2)</f>
        <v>118994.78</v>
      </c>
      <c r="V72" s="5">
        <f>SUMIFS(Tabela1[FN011 - Despesa com produtos químicos],Tabela1[Ano de Referência],'Valuation (FCF) Guara'!V$2)</f>
        <v>126386</v>
      </c>
      <c r="W72" s="5">
        <f>SUMIFS(Tabela1[FN011 - Despesa com produtos químicos],Tabela1[Ano de Referência],'Valuation (FCF) Guara'!W$2)</f>
        <v>121369.15</v>
      </c>
      <c r="X72" s="5">
        <f>SUMIFS(Tabela1[FN011 - Despesa com produtos químicos],Tabela1[Ano de Referência],'Valuation (FCF) Guara'!X$2)</f>
        <v>52480.81</v>
      </c>
      <c r="Y72" s="5">
        <f>SUMIFS(Tabela1[FN011 - Despesa com produtos químicos],Tabela1[Ano de Referência],'Valuation (FCF) Guara'!Y$2)</f>
        <v>64876.95</v>
      </c>
      <c r="Z72" s="5">
        <f>SUMIFS(Tabela1[FN011 - Despesa com produtos químicos],Tabela1[Ano de Referência],'Valuation (FCF) Guara'!Z$2)</f>
        <v>55145</v>
      </c>
      <c r="AB72" s="1">
        <f>SUMIFS('[1]Resumo Modelo Financ'!$23:$23,'[1]Resumo Modelo Financ'!$13:$13,AB$3)</f>
        <v>278829.51154121145</v>
      </c>
      <c r="AC72" s="1">
        <f>SUMIFS('[1]Resumo Modelo Financ'!$23:$23,'[1]Resumo Modelo Financ'!$13:$13,AC$3)</f>
        <v>280389.65841745789</v>
      </c>
      <c r="AD72" s="1">
        <f>SUMIFS('[1]Resumo Modelo Financ'!$23:$23,'[1]Resumo Modelo Financ'!$13:$13,AD$3)</f>
        <v>278623.52833117853</v>
      </c>
      <c r="AE72" s="1">
        <f>SUMIFS('[1]Resumo Modelo Financ'!$23:$23,'[1]Resumo Modelo Financ'!$13:$13,AE$3)</f>
        <v>276691.84043691988</v>
      </c>
      <c r="AF72" s="1">
        <f>SUMIFS('[1]Resumo Modelo Financ'!$23:$23,'[1]Resumo Modelo Financ'!$13:$13,AF$3)</f>
        <v>274652.5825637583</v>
      </c>
      <c r="AG72" s="1">
        <f>SUMIFS('[1]Resumo Modelo Financ'!$23:$23,'[1]Resumo Modelo Financ'!$13:$13,AG$3)</f>
        <v>272451.91221866349</v>
      </c>
      <c r="AH72" s="1">
        <f>SUMIFS('[1]Resumo Modelo Financ'!$23:$23,'[1]Resumo Modelo Financ'!$13:$13,AH$3)</f>
        <v>270263.63345899893</v>
      </c>
      <c r="AI72" s="1">
        <f>SUMIFS('[1]Resumo Modelo Financ'!$23:$23,'[1]Resumo Modelo Financ'!$13:$13,AI$3)</f>
        <v>267865.1767709885</v>
      </c>
      <c r="AJ72" s="1">
        <f>SUMIFS('[1]Resumo Modelo Financ'!$23:$23,'[1]Resumo Modelo Financ'!$13:$13,AJ$3)</f>
        <v>265374.13769008609</v>
      </c>
      <c r="AK72" s="1">
        <f>SUMIFS('[1]Resumo Modelo Financ'!$23:$23,'[1]Resumo Modelo Financ'!$13:$13,AK$3)</f>
        <v>261611.73115593896</v>
      </c>
      <c r="AL72" s="1">
        <f>SUMIFS('[1]Resumo Modelo Financ'!$23:$23,'[1]Resumo Modelo Financ'!$13:$13,AL$3)</f>
        <v>262567.33707338624</v>
      </c>
      <c r="AM72" s="1">
        <f>SUMIFS('[1]Resumo Modelo Financ'!$23:$23,'[1]Resumo Modelo Financ'!$13:$13,AM$3)</f>
        <v>263563.08865362272</v>
      </c>
      <c r="AN72" s="1">
        <f>SUMIFS('[1]Resumo Modelo Financ'!$23:$23,'[1]Resumo Modelo Financ'!$13:$13,AN$3)</f>
        <v>264395.8495233822</v>
      </c>
      <c r="AO72" s="1">
        <f>SUMIFS('[1]Resumo Modelo Financ'!$23:$23,'[1]Resumo Modelo Financ'!$13:$13,AO$3)</f>
        <v>265169.59413629788</v>
      </c>
      <c r="AP72" s="1">
        <f>SUMIFS('[1]Resumo Modelo Financ'!$23:$23,'[1]Resumo Modelo Financ'!$13:$13,AP$3)</f>
        <v>265934.59430840251</v>
      </c>
      <c r="AQ72" s="1">
        <f>SUMIFS('[1]Resumo Modelo Financ'!$23:$23,'[1]Resumo Modelo Financ'!$13:$13,AQ$3)</f>
        <v>266533.63138440857</v>
      </c>
      <c r="AR72" s="1">
        <f>SUMIFS('[1]Resumo Modelo Financ'!$23:$23,'[1]Resumo Modelo Financ'!$13:$13,AR$3)</f>
        <v>267127.77703241451</v>
      </c>
      <c r="AS72" s="1">
        <f>SUMIFS('[1]Resumo Modelo Financ'!$23:$23,'[1]Resumo Modelo Financ'!$13:$13,AS$3)</f>
        <v>267605.94141073263</v>
      </c>
      <c r="AT72" s="1">
        <f>SUMIFS('[1]Resumo Modelo Financ'!$23:$23,'[1]Resumo Modelo Financ'!$13:$13,AT$3)</f>
        <v>268073.71736742888</v>
      </c>
      <c r="AU72" s="1">
        <f>SUMIFS('[1]Resumo Modelo Financ'!$23:$23,'[1]Resumo Modelo Financ'!$13:$13,AU$3)</f>
        <v>268484.89719490317</v>
      </c>
      <c r="AV72" s="1">
        <f>SUMIFS('[1]Resumo Modelo Financ'!$23:$23,'[1]Resumo Modelo Financ'!$13:$13,AV$3)</f>
        <v>268781.50305150071</v>
      </c>
      <c r="AW72" s="1">
        <f>SUMIFS('[1]Resumo Modelo Financ'!$23:$23,'[1]Resumo Modelo Financ'!$13:$13,AW$3)</f>
        <v>269018.69818125427</v>
      </c>
      <c r="AX72" s="1">
        <f>SUMIFS('[1]Resumo Modelo Financ'!$23:$23,'[1]Resumo Modelo Financ'!$13:$13,AX$3)</f>
        <v>269143.97614975303</v>
      </c>
      <c r="AY72" s="1">
        <f>SUMIFS('[1]Resumo Modelo Financ'!$23:$23,'[1]Resumo Modelo Financ'!$13:$13,AY$3)</f>
        <v>269259.98300581891</v>
      </c>
      <c r="AZ72" s="1">
        <f>SUMIFS('[1]Resumo Modelo Financ'!$23:$23,'[1]Resumo Modelo Financ'!$13:$13,AZ$3)</f>
        <v>269319.31483866269</v>
      </c>
      <c r="BA72" s="1">
        <f>SUMIFS('[1]Resumo Modelo Financ'!$23:$23,'[1]Resumo Modelo Financ'!$13:$13,BA$3)</f>
        <v>269381.25017350668</v>
      </c>
      <c r="BB72" s="1">
        <f>SUMIFS('[1]Resumo Modelo Financ'!$23:$23,'[1]Resumo Modelo Financ'!$13:$13,BB$3)</f>
        <v>269208.5427078408</v>
      </c>
      <c r="BC72" s="1">
        <f>SUMIFS('[1]Resumo Modelo Financ'!$23:$23,'[1]Resumo Modelo Financ'!$13:$13,BC$3)</f>
        <v>269038.51763817511</v>
      </c>
      <c r="BD72" s="1">
        <f>SUMIFS('[1]Resumo Modelo Financ'!$23:$23,'[1]Resumo Modelo Financ'!$13:$13,BD$3)</f>
        <v>268863.28556450951</v>
      </c>
      <c r="BE72" s="1">
        <f>SUMIFS('[1]Resumo Modelo Financ'!$23:$23,'[1]Resumo Modelo Financ'!$13:$13,BE$3)</f>
        <v>268579.91044839984</v>
      </c>
    </row>
    <row r="73" spans="2:57" x14ac:dyDescent="0.2">
      <c r="B73" t="s">
        <v>266</v>
      </c>
      <c r="O73" s="5">
        <f>SUMIFS(Tabela1[FN013 - Despesa com energia elétrica],Tabela1[Ano de Referência],'Valuation (FCF) Guara'!O$2)</f>
        <v>400444</v>
      </c>
      <c r="P73" s="5">
        <f>SUMIFS(Tabela1[FN013 - Despesa com energia elétrica],Tabela1[Ano de Referência],'Valuation (FCF) Guara'!P$2)</f>
        <v>441069.67</v>
      </c>
      <c r="Q73" s="5">
        <f>SUMIFS(Tabela1[FN013 - Despesa com energia elétrica],Tabela1[Ano de Referência],'Valuation (FCF) Guara'!Q$2)</f>
        <v>402991.61</v>
      </c>
      <c r="R73" s="5">
        <f>SUMIFS(Tabela1[FN013 - Despesa com energia elétrica],Tabela1[Ano de Referência],'Valuation (FCF) Guara'!R$2)</f>
        <v>406834.59</v>
      </c>
      <c r="S73" s="5">
        <f>SUMIFS(Tabela1[FN013 - Despesa com energia elétrica],Tabela1[Ano de Referência],'Valuation (FCF) Guara'!S$2)</f>
        <v>583780.68999999994</v>
      </c>
      <c r="T73" s="5">
        <f>SUMIFS(Tabela1[FN013 - Despesa com energia elétrica],Tabela1[Ano de Referência],'Valuation (FCF) Guara'!T$2)</f>
        <v>758373.99</v>
      </c>
      <c r="U73" s="5">
        <f>SUMIFS(Tabela1[FN013 - Despesa com energia elétrica],Tabela1[Ano de Referência],'Valuation (FCF) Guara'!U$2)</f>
        <v>917839.67</v>
      </c>
      <c r="V73" s="5">
        <f>SUMIFS(Tabela1[FN013 - Despesa com energia elétrica],Tabela1[Ano de Referência],'Valuation (FCF) Guara'!V$2)</f>
        <v>927752.3</v>
      </c>
      <c r="W73" s="5">
        <f>SUMIFS(Tabela1[FN013 - Despesa com energia elétrica],Tabela1[Ano de Referência],'Valuation (FCF) Guara'!W$2)</f>
        <v>772202.07</v>
      </c>
      <c r="X73" s="5">
        <f>SUMIFS(Tabela1[FN013 - Despesa com energia elétrica],Tabela1[Ano de Referência],'Valuation (FCF) Guara'!X$2)</f>
        <v>855025.45</v>
      </c>
      <c r="Y73" s="5">
        <f>SUMIFS(Tabela1[FN013 - Despesa com energia elétrica],Tabela1[Ano de Referência],'Valuation (FCF) Guara'!Y$2)</f>
        <v>1098511.1399999999</v>
      </c>
      <c r="Z73" s="5">
        <f>SUMIFS(Tabela1[FN013 - Despesa com energia elétrica],Tabela1[Ano de Referência],'Valuation (FCF) Guara'!Z$2)</f>
        <v>1440630.91</v>
      </c>
      <c r="AB73" s="1">
        <f>SUMIFS('[1]Resumo Modelo Financ'!$21:$21,'[1]Resumo Modelo Financ'!$13:$13,AB$3)</f>
        <v>1542091.7999999996</v>
      </c>
      <c r="AC73" s="1">
        <f>SUMIFS('[1]Resumo Modelo Financ'!$21:$21,'[1]Resumo Modelo Financ'!$13:$13,AC$3)</f>
        <v>1549427.1599999995</v>
      </c>
      <c r="AD73" s="1">
        <f>SUMIFS('[1]Resumo Modelo Financ'!$21:$21,'[1]Resumo Modelo Financ'!$13:$13,AD$3)</f>
        <v>1538059.5599999996</v>
      </c>
      <c r="AE73" s="1">
        <f>SUMIFS('[1]Resumo Modelo Financ'!$21:$21,'[1]Resumo Modelo Financ'!$13:$13,AE$3)</f>
        <v>1525735.3199999994</v>
      </c>
      <c r="AF73" s="1">
        <f>SUMIFS('[1]Resumo Modelo Financ'!$21:$21,'[1]Resumo Modelo Financ'!$13:$13,AF$3)</f>
        <v>1512811.7999999998</v>
      </c>
      <c r="AG73" s="1">
        <f>SUMIFS('[1]Resumo Modelo Financ'!$21:$21,'[1]Resumo Modelo Financ'!$13:$13,AG$3)</f>
        <v>1498972.6799999997</v>
      </c>
      <c r="AH73" s="1">
        <f>SUMIFS('[1]Resumo Modelo Financ'!$21:$21,'[1]Resumo Modelo Financ'!$13:$13,AH$3)</f>
        <v>1485230.0399999998</v>
      </c>
      <c r="AI73" s="1">
        <f>SUMIFS('[1]Resumo Modelo Financ'!$21:$21,'[1]Resumo Modelo Financ'!$13:$13,AI$3)</f>
        <v>1470282.1199999999</v>
      </c>
      <c r="AJ73" s="1">
        <f>SUMIFS('[1]Resumo Modelo Financ'!$21:$21,'[1]Resumo Modelo Financ'!$13:$13,AJ$3)</f>
        <v>1454810.5199999998</v>
      </c>
      <c r="AK73" s="1">
        <f>SUMIFS('[1]Resumo Modelo Financ'!$21:$21,'[1]Resumo Modelo Financ'!$13:$13,AK$3)</f>
        <v>1431792.84</v>
      </c>
      <c r="AL73" s="1">
        <f>SUMIFS('[1]Resumo Modelo Financ'!$21:$21,'[1]Resumo Modelo Financ'!$13:$13,AL$3)</f>
        <v>1436962.5599999996</v>
      </c>
      <c r="AM73" s="1">
        <f>SUMIFS('[1]Resumo Modelo Financ'!$21:$21,'[1]Resumo Modelo Financ'!$13:$13,AM$3)</f>
        <v>1442417.1599999995</v>
      </c>
      <c r="AN73" s="1">
        <f>SUMIFS('[1]Resumo Modelo Financ'!$21:$21,'[1]Resumo Modelo Financ'!$13:$13,AN$3)</f>
        <v>1446934.2000000004</v>
      </c>
      <c r="AO73" s="1">
        <f>SUMIFS('[1]Resumo Modelo Financ'!$21:$21,'[1]Resumo Modelo Financ'!$13:$13,AO$3)</f>
        <v>1451129.2799999996</v>
      </c>
      <c r="AP73" s="1">
        <f>SUMIFS('[1]Resumo Modelo Financ'!$21:$21,'[1]Resumo Modelo Financ'!$13:$13,AP$3)</f>
        <v>1455307.4400000004</v>
      </c>
      <c r="AQ73" s="1">
        <f>SUMIFS('[1]Resumo Modelo Financ'!$21:$21,'[1]Resumo Modelo Financ'!$13:$13,AQ$3)</f>
        <v>1458541.9199999997</v>
      </c>
      <c r="AR73" s="1">
        <f>SUMIFS('[1]Resumo Modelo Financ'!$21:$21,'[1]Resumo Modelo Financ'!$13:$13,AR$3)</f>
        <v>1461767.0399999998</v>
      </c>
      <c r="AS73" s="1">
        <f>SUMIFS('[1]Resumo Modelo Financ'!$21:$21,'[1]Resumo Modelo Financ'!$13:$13,AS$3)</f>
        <v>1464352.5599999996</v>
      </c>
      <c r="AT73" s="1">
        <f>SUMIFS('[1]Resumo Modelo Financ'!$21:$21,'[1]Resumo Modelo Financ'!$13:$13,AT$3)</f>
        <v>1466917.7999999998</v>
      </c>
      <c r="AU73" s="1">
        <f>SUMIFS('[1]Resumo Modelo Financ'!$21:$21,'[1]Resumo Modelo Financ'!$13:$13,AU$3)</f>
        <v>1469166.24</v>
      </c>
      <c r="AV73" s="1">
        <f>SUMIFS('[1]Resumo Modelo Financ'!$21:$21,'[1]Resumo Modelo Financ'!$13:$13,AV$3)</f>
        <v>1470777.84</v>
      </c>
      <c r="AW73" s="1">
        <f>SUMIFS('[1]Resumo Modelo Financ'!$21:$21,'[1]Resumo Modelo Financ'!$13:$13,AW$3)</f>
        <v>1472066.88</v>
      </c>
      <c r="AX73" s="1">
        <f>SUMIFS('[1]Resumo Modelo Financ'!$21:$21,'[1]Resumo Modelo Financ'!$13:$13,AX$3)</f>
        <v>1472724.4800000002</v>
      </c>
      <c r="AY73" s="1">
        <f>SUMIFS('[1]Resumo Modelo Financ'!$21:$21,'[1]Resumo Modelo Financ'!$13:$13,AY$3)</f>
        <v>1473363.9600000002</v>
      </c>
      <c r="AZ73" s="1">
        <f>SUMIFS('[1]Resumo Modelo Financ'!$21:$21,'[1]Resumo Modelo Financ'!$13:$13,AZ$3)</f>
        <v>1473686.2799999996</v>
      </c>
      <c r="BA73" s="1">
        <f>SUMIFS('[1]Resumo Modelo Financ'!$21:$21,'[1]Resumo Modelo Financ'!$13:$13,BA$3)</f>
        <v>1474013.76</v>
      </c>
      <c r="BB73" s="1">
        <f>SUMIFS('[1]Resumo Modelo Financ'!$21:$21,'[1]Resumo Modelo Financ'!$13:$13,BB$3)</f>
        <v>1473057</v>
      </c>
      <c r="BC73" s="1">
        <f>SUMIFS('[1]Resumo Modelo Financ'!$21:$21,'[1]Resumo Modelo Financ'!$13:$13,BC$3)</f>
        <v>1472105.3999999997</v>
      </c>
      <c r="BD73" s="1">
        <f>SUMIFS('[1]Resumo Modelo Financ'!$21:$21,'[1]Resumo Modelo Financ'!$13:$13,BD$3)</f>
        <v>1471143.8400000005</v>
      </c>
      <c r="BE73" s="1">
        <f>SUMIFS('[1]Resumo Modelo Financ'!$21:$21,'[1]Resumo Modelo Financ'!$13:$13,BE$3)</f>
        <v>1469557.9199999997</v>
      </c>
    </row>
    <row r="74" spans="2:57" x14ac:dyDescent="0.2">
      <c r="B74" t="s">
        <v>268</v>
      </c>
      <c r="O74" s="5">
        <f>SUMIFS(Tabela1[FN014 - Despesa com serviços de terceiros],Tabela1[Ano de Referência],'Valuation (FCF) Guara'!O$2)</f>
        <v>135496</v>
      </c>
      <c r="P74" s="5">
        <f>SUMIFS(Tabela1[FN014 - Despesa com serviços de terceiros],Tabela1[Ano de Referência],'Valuation (FCF) Guara'!P$2)</f>
        <v>117401.51</v>
      </c>
      <c r="Q74" s="5">
        <f>SUMIFS(Tabela1[FN014 - Despesa com serviços de terceiros],Tabela1[Ano de Referência],'Valuation (FCF) Guara'!Q$2)</f>
        <v>191607.31</v>
      </c>
      <c r="R74" s="5">
        <f>SUMIFS(Tabela1[FN014 - Despesa com serviços de terceiros],Tabela1[Ano de Referência],'Valuation (FCF) Guara'!R$2)</f>
        <v>13175.4</v>
      </c>
      <c r="S74" s="5">
        <f>SUMIFS(Tabela1[FN014 - Despesa com serviços de terceiros],Tabela1[Ano de Referência],'Valuation (FCF) Guara'!S$2)</f>
        <v>54969.8</v>
      </c>
      <c r="T74" s="5">
        <f>SUMIFS(Tabela1[FN014 - Despesa com serviços de terceiros],Tabela1[Ano de Referência],'Valuation (FCF) Guara'!T$2)</f>
        <v>920</v>
      </c>
      <c r="U74" s="5">
        <f>SUMIFS(Tabela1[FN014 - Despesa com serviços de terceiros],Tabela1[Ano de Referência],'Valuation (FCF) Guara'!U$2)</f>
        <v>4203.12</v>
      </c>
      <c r="V74" s="5">
        <f>SUMIFS(Tabela1[FN014 - Despesa com serviços de terceiros],Tabela1[Ano de Referência],'Valuation (FCF) Guara'!V$2)</f>
        <v>7800</v>
      </c>
      <c r="W74" s="5">
        <f>SUMIFS(Tabela1[FN014 - Despesa com serviços de terceiros],Tabela1[Ano de Referência],'Valuation (FCF) Guara'!W$2)</f>
        <v>0</v>
      </c>
      <c r="X74" s="5">
        <f>SUMIFS(Tabela1[FN014 - Despesa com serviços de terceiros],Tabela1[Ano de Referência],'Valuation (FCF) Guara'!X$2)</f>
        <v>0</v>
      </c>
      <c r="Y74" s="5">
        <f>SUMIFS(Tabela1[FN014 - Despesa com serviços de terceiros],Tabela1[Ano de Referência],'Valuation (FCF) Guara'!Y$2)</f>
        <v>0</v>
      </c>
      <c r="Z74" s="5">
        <f>SUMIFS(Tabela1[FN014 - Despesa com serviços de terceiros],Tabela1[Ano de Referência],'Valuation (FCF) Guara'!Z$2)</f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</row>
    <row r="75" spans="2:57" x14ac:dyDescent="0.2">
      <c r="B75" t="s">
        <v>269</v>
      </c>
      <c r="O75" s="5">
        <f>SUMIFS(Tabela1[FN027 - Outras despesas de exploração],Tabela1[Ano de Referência],'Valuation (FCF) Guara'!O$2)</f>
        <v>0</v>
      </c>
      <c r="P75" s="5">
        <f>SUMIFS(Tabela1[FN027 - Outras despesas de exploração],Tabela1[Ano de Referência],'Valuation (FCF) Guara'!P$2)</f>
        <v>393034.38</v>
      </c>
      <c r="Q75" s="5">
        <f>SUMIFS(Tabela1[FN027 - Outras despesas de exploração],Tabela1[Ano de Referência],'Valuation (FCF) Guara'!Q$2)</f>
        <v>218512.1</v>
      </c>
      <c r="R75" s="5">
        <f>SUMIFS(Tabela1[FN027 - Outras despesas de exploração],Tabela1[Ano de Referência],'Valuation (FCF) Guara'!R$2)</f>
        <v>0</v>
      </c>
      <c r="S75" s="5">
        <f>SUMIFS(Tabela1[FN027 - Outras despesas de exploração],Tabela1[Ano de Referência],'Valuation (FCF) Guara'!S$2)</f>
        <v>7777.05</v>
      </c>
      <c r="T75" s="5">
        <f>SUMIFS(Tabela1[FN027 - Outras despesas de exploração],Tabela1[Ano de Referência],'Valuation (FCF) Guara'!T$2)</f>
        <v>212478.93</v>
      </c>
      <c r="U75" s="5">
        <f>SUMIFS(Tabela1[FN027 - Outras despesas de exploração],Tabela1[Ano de Referência],'Valuation (FCF) Guara'!U$2)</f>
        <v>801729.35</v>
      </c>
      <c r="V75" s="5">
        <f>SUMIFS(Tabela1[FN027 - Outras despesas de exploração],Tabela1[Ano de Referência],'Valuation (FCF) Guara'!V$2)</f>
        <v>0</v>
      </c>
      <c r="W75" s="5">
        <f>SUMIFS(Tabela1[FN027 - Outras despesas de exploração],Tabela1[Ano de Referência],'Valuation (FCF) Guara'!W$2)</f>
        <v>995747.07</v>
      </c>
      <c r="X75" s="5">
        <f>SUMIFS(Tabela1[FN027 - Outras despesas de exploração],Tabela1[Ano de Referência],'Valuation (FCF) Guara'!X$2)</f>
        <v>533904.51</v>
      </c>
      <c r="Y75" s="5">
        <f>SUMIFS(Tabela1[FN027 - Outras despesas de exploração],Tabela1[Ano de Referência],'Valuation (FCF) Guara'!Y$2)</f>
        <v>1135442.83</v>
      </c>
      <c r="Z75" s="5">
        <f>SUMIFS(Tabela1[FN027 - Outras despesas de exploração],Tabela1[Ano de Referência],'Valuation (FCF) Guara'!Z$2)</f>
        <v>620223.01</v>
      </c>
      <c r="AB75" s="1">
        <f>SUMIFS('[1]Resumo Modelo Financ'!$25:$25,'[1]Resumo Modelo Financ'!$13:$13,AB$3)</f>
        <v>1141348.3113173335</v>
      </c>
      <c r="AC75" s="1">
        <f>SUMIFS('[1]Resumo Modelo Financ'!$25:$25,'[1]Resumo Modelo Financ'!$13:$13,AC$3)</f>
        <v>1141348.3113173335</v>
      </c>
      <c r="AD75" s="1">
        <f>SUMIFS('[1]Resumo Modelo Financ'!$25:$25,'[1]Resumo Modelo Financ'!$13:$13,AD$3)</f>
        <v>1141348.3113173335</v>
      </c>
      <c r="AE75" s="1">
        <f>SUMIFS('[1]Resumo Modelo Financ'!$25:$25,'[1]Resumo Modelo Financ'!$13:$13,AE$3)</f>
        <v>1215542.2953173337</v>
      </c>
      <c r="AF75" s="1">
        <f>SUMIFS('[1]Resumo Modelo Financ'!$25:$25,'[1]Resumo Modelo Financ'!$13:$13,AF$3)</f>
        <v>1215542.2953173337</v>
      </c>
      <c r="AG75" s="1">
        <f>SUMIFS('[1]Resumo Modelo Financ'!$25:$25,'[1]Resumo Modelo Financ'!$13:$13,AG$3)</f>
        <v>1215542.2953173337</v>
      </c>
      <c r="AH75" s="1">
        <f>SUMIFS('[1]Resumo Modelo Financ'!$25:$25,'[1]Resumo Modelo Financ'!$13:$13,AH$3)</f>
        <v>1215542.2953173337</v>
      </c>
      <c r="AI75" s="1">
        <f>SUMIFS('[1]Resumo Modelo Financ'!$25:$25,'[1]Resumo Modelo Financ'!$13:$13,AI$3)</f>
        <v>1215542.2953173337</v>
      </c>
      <c r="AJ75" s="1">
        <f>SUMIFS('[1]Resumo Modelo Financ'!$25:$25,'[1]Resumo Modelo Financ'!$13:$13,AJ$3)</f>
        <v>1215542.2953173337</v>
      </c>
      <c r="AK75" s="1">
        <f>SUMIFS('[1]Resumo Modelo Financ'!$25:$25,'[1]Resumo Modelo Financ'!$13:$13,AK$3)</f>
        <v>1215542.2953173337</v>
      </c>
      <c r="AL75" s="1">
        <f>SUMIFS('[1]Resumo Modelo Financ'!$25:$25,'[1]Resumo Modelo Financ'!$13:$13,AL$3)</f>
        <v>1215542.2953173337</v>
      </c>
      <c r="AM75" s="1">
        <f>SUMIFS('[1]Resumo Modelo Financ'!$25:$25,'[1]Resumo Modelo Financ'!$13:$13,AM$3)</f>
        <v>1215542.2953173337</v>
      </c>
      <c r="AN75" s="1">
        <f>SUMIFS('[1]Resumo Modelo Financ'!$25:$25,'[1]Resumo Modelo Financ'!$13:$13,AN$3)</f>
        <v>1215542.2953173337</v>
      </c>
      <c r="AO75" s="1">
        <f>SUMIFS('[1]Resumo Modelo Financ'!$25:$25,'[1]Resumo Modelo Financ'!$13:$13,AO$3)</f>
        <v>1215542.2953173337</v>
      </c>
      <c r="AP75" s="1">
        <f>SUMIFS('[1]Resumo Modelo Financ'!$25:$25,'[1]Resumo Modelo Financ'!$13:$13,AP$3)</f>
        <v>1215542.2953173337</v>
      </c>
      <c r="AQ75" s="1">
        <f>SUMIFS('[1]Resumo Modelo Financ'!$25:$25,'[1]Resumo Modelo Financ'!$13:$13,AQ$3)</f>
        <v>1215542.2953173337</v>
      </c>
      <c r="AR75" s="1">
        <f>SUMIFS('[1]Resumo Modelo Financ'!$25:$25,'[1]Resumo Modelo Financ'!$13:$13,AR$3)</f>
        <v>1215542.2953173337</v>
      </c>
      <c r="AS75" s="1">
        <f>SUMIFS('[1]Resumo Modelo Financ'!$25:$25,'[1]Resumo Modelo Financ'!$13:$13,AS$3)</f>
        <v>1215542.2953173337</v>
      </c>
      <c r="AT75" s="1">
        <f>SUMIFS('[1]Resumo Modelo Financ'!$25:$25,'[1]Resumo Modelo Financ'!$13:$13,AT$3)</f>
        <v>1215542.2953173337</v>
      </c>
      <c r="AU75" s="1">
        <f>SUMIFS('[1]Resumo Modelo Financ'!$25:$25,'[1]Resumo Modelo Financ'!$13:$13,AU$3)</f>
        <v>1215542.2953173337</v>
      </c>
      <c r="AV75" s="1">
        <f>SUMIFS('[1]Resumo Modelo Financ'!$25:$25,'[1]Resumo Modelo Financ'!$13:$13,AV$3)</f>
        <v>1215542.2953173337</v>
      </c>
      <c r="AW75" s="1">
        <f>SUMIFS('[1]Resumo Modelo Financ'!$25:$25,'[1]Resumo Modelo Financ'!$13:$13,AW$3)</f>
        <v>1215542.2953173337</v>
      </c>
      <c r="AX75" s="1">
        <f>SUMIFS('[1]Resumo Modelo Financ'!$25:$25,'[1]Resumo Modelo Financ'!$13:$13,AX$3)</f>
        <v>1215542.2953173337</v>
      </c>
      <c r="AY75" s="1">
        <f>SUMIFS('[1]Resumo Modelo Financ'!$25:$25,'[1]Resumo Modelo Financ'!$13:$13,AY$3)</f>
        <v>1215542.2953173337</v>
      </c>
      <c r="AZ75" s="1">
        <f>SUMIFS('[1]Resumo Modelo Financ'!$25:$25,'[1]Resumo Modelo Financ'!$13:$13,AZ$3)</f>
        <v>1215542.2953173337</v>
      </c>
      <c r="BA75" s="1">
        <f>SUMIFS('[1]Resumo Modelo Financ'!$25:$25,'[1]Resumo Modelo Financ'!$13:$13,BA$3)</f>
        <v>1215542.2953173337</v>
      </c>
      <c r="BB75" s="1">
        <f>SUMIFS('[1]Resumo Modelo Financ'!$25:$25,'[1]Resumo Modelo Financ'!$13:$13,BB$3)</f>
        <v>1215542.2953173337</v>
      </c>
      <c r="BC75" s="1">
        <f>SUMIFS('[1]Resumo Modelo Financ'!$25:$25,'[1]Resumo Modelo Financ'!$13:$13,BC$3)</f>
        <v>1215542.2953173337</v>
      </c>
      <c r="BD75" s="1">
        <f>SUMIFS('[1]Resumo Modelo Financ'!$25:$25,'[1]Resumo Modelo Financ'!$13:$13,BD$3)</f>
        <v>1215542.2953173337</v>
      </c>
      <c r="BE75" s="1">
        <f>SUMIFS('[1]Resumo Modelo Financ'!$25:$25,'[1]Resumo Modelo Financ'!$13:$13,BE$3)</f>
        <v>1215542.2953173337</v>
      </c>
    </row>
    <row r="76" spans="2:57" x14ac:dyDescent="0.2">
      <c r="B76" t="s">
        <v>270</v>
      </c>
      <c r="O76" s="5">
        <f>SUMIFS(Tabela1[FN028 - Outras despesas com os serviços],Tabela1[Ano de Referência],'Valuation (FCF) Guara'!O$2)</f>
        <v>0</v>
      </c>
      <c r="P76" s="5">
        <f>SUMIFS(Tabela1[FN028 - Outras despesas com os serviços],Tabela1[Ano de Referência],'Valuation (FCF) Guara'!P$2)</f>
        <v>0</v>
      </c>
      <c r="Q76" s="5">
        <f>SUMIFS(Tabela1[FN028 - Outras despesas com os serviços],Tabela1[Ano de Referência],'Valuation (FCF) Guara'!Q$2)</f>
        <v>0</v>
      </c>
      <c r="R76" s="5">
        <f>SUMIFS(Tabela1[FN028 - Outras despesas com os serviços],Tabela1[Ano de Referência],'Valuation (FCF) Guara'!R$2)</f>
        <v>428309.59</v>
      </c>
      <c r="S76" s="5">
        <f>SUMIFS(Tabela1[FN028 - Outras despesas com os serviços],Tabela1[Ano de Referência],'Valuation (FCF) Guara'!S$2)</f>
        <v>203602.96</v>
      </c>
      <c r="T76" s="5">
        <f>SUMIFS(Tabela1[FN028 - Outras despesas com os serviços],Tabela1[Ano de Referência],'Valuation (FCF) Guara'!T$2)</f>
        <v>336257.72</v>
      </c>
      <c r="U76" s="5">
        <f>SUMIFS(Tabela1[FN028 - Outras despesas com os serviços],Tabela1[Ano de Referência],'Valuation (FCF) Guara'!U$2)</f>
        <v>0</v>
      </c>
      <c r="V76" s="5">
        <f>SUMIFS(Tabela1[FN028 - Outras despesas com os serviços],Tabela1[Ano de Referência],'Valuation (FCF) Guara'!V$2)</f>
        <v>839564.69</v>
      </c>
      <c r="W76" s="5">
        <f>SUMIFS(Tabela1[FN028 - Outras despesas com os serviços],Tabela1[Ano de Referência],'Valuation (FCF) Guara'!W$2)</f>
        <v>0</v>
      </c>
      <c r="X76" s="5">
        <f>SUMIFS(Tabela1[FN028 - Outras despesas com os serviços],Tabela1[Ano de Referência],'Valuation (FCF) Guara'!X$2)</f>
        <v>1923270.24</v>
      </c>
      <c r="Y76" s="5">
        <f>SUMIFS(Tabela1[FN028 - Outras despesas com os serviços],Tabela1[Ano de Referência],'Valuation (FCF) Guara'!Y$2)</f>
        <v>1478584.54</v>
      </c>
      <c r="Z76" s="5">
        <f>SUMIFS(Tabela1[FN028 - Outras despesas com os serviços],Tabela1[Ano de Referência],'Valuation (FCF) Guara'!Z$2)</f>
        <v>1612751.56</v>
      </c>
      <c r="AB76" s="1">
        <f ca="1">SUMIFS('[1]Resumo Modelo Financ'!$27:$27,'[1]Resumo Modelo Financ'!$13:$13,AB$3)+SUMIFS('[1]Resumo Modelo Financ'!$29:$29,'[1]Resumo Modelo Financ'!$13:$13,AB$3)</f>
        <v>651140.06206432078</v>
      </c>
      <c r="AC76" s="1">
        <f ca="1">SUMIFS('[1]Resumo Modelo Financ'!$27:$27,'[1]Resumo Modelo Financ'!$13:$13,AC$3)+SUMIFS('[1]Resumo Modelo Financ'!$29:$29,'[1]Resumo Modelo Financ'!$13:$13,AC$3)</f>
        <v>646414.20847227494</v>
      </c>
      <c r="AD76" s="1">
        <f ca="1">SUMIFS('[1]Resumo Modelo Financ'!$27:$27,'[1]Resumo Modelo Financ'!$13:$13,AD$3)+SUMIFS('[1]Resumo Modelo Financ'!$29:$29,'[1]Resumo Modelo Financ'!$13:$13,AD$3)</f>
        <v>644437.4692772124</v>
      </c>
      <c r="AE76" s="1">
        <f ca="1">SUMIFS('[1]Resumo Modelo Financ'!$27:$27,'[1]Resumo Modelo Financ'!$13:$13,AE$3)+SUMIFS('[1]Resumo Modelo Financ'!$29:$29,'[1]Resumo Modelo Financ'!$13:$13,AE$3)</f>
        <v>646317.68005939992</v>
      </c>
      <c r="AF76" s="1">
        <f ca="1">SUMIFS('[1]Resumo Modelo Financ'!$27:$27,'[1]Resumo Modelo Financ'!$13:$13,AF$3)+SUMIFS('[1]Resumo Modelo Financ'!$29:$29,'[1]Resumo Modelo Financ'!$13:$13,AF$3)</f>
        <v>646931.97015933448</v>
      </c>
      <c r="AG76" s="1">
        <f ca="1">SUMIFS('[1]Resumo Modelo Financ'!$27:$27,'[1]Resumo Modelo Financ'!$13:$13,AG$3)+SUMIFS('[1]Resumo Modelo Financ'!$29:$29,'[1]Resumo Modelo Financ'!$13:$13,AG$3)</f>
        <v>642371.26028081274</v>
      </c>
      <c r="AH76" s="1">
        <f ca="1">SUMIFS('[1]Resumo Modelo Financ'!$27:$27,'[1]Resumo Modelo Financ'!$13:$13,AH$3)+SUMIFS('[1]Resumo Modelo Financ'!$29:$29,'[1]Resumo Modelo Financ'!$13:$13,AH$3)</f>
        <v>641190.73088187154</v>
      </c>
      <c r="AI76" s="1">
        <f ca="1">SUMIFS('[1]Resumo Modelo Financ'!$27:$27,'[1]Resumo Modelo Financ'!$13:$13,AI$3)+SUMIFS('[1]Resumo Modelo Financ'!$29:$29,'[1]Resumo Modelo Financ'!$13:$13,AI$3)</f>
        <v>639920.91957597202</v>
      </c>
      <c r="AJ76" s="1">
        <f ca="1">SUMIFS('[1]Resumo Modelo Financ'!$27:$27,'[1]Resumo Modelo Financ'!$13:$13,AJ$3)+SUMIFS('[1]Resumo Modelo Financ'!$29:$29,'[1]Resumo Modelo Financ'!$13:$13,AJ$3)</f>
        <v>638937.73354420322</v>
      </c>
      <c r="AK76" s="1">
        <f ca="1">SUMIFS('[1]Resumo Modelo Financ'!$27:$27,'[1]Resumo Modelo Financ'!$13:$13,AK$3)+SUMIFS('[1]Resumo Modelo Financ'!$29:$29,'[1]Resumo Modelo Financ'!$13:$13,AK$3)</f>
        <v>640063.04581396154</v>
      </c>
      <c r="AL76" s="1">
        <f ca="1">SUMIFS('[1]Resumo Modelo Financ'!$27:$27,'[1]Resumo Modelo Financ'!$13:$13,AL$3)+SUMIFS('[1]Resumo Modelo Financ'!$29:$29,'[1]Resumo Modelo Financ'!$13:$13,AL$3)</f>
        <v>635850.44007266685</v>
      </c>
      <c r="AM76" s="1">
        <f ca="1">SUMIFS('[1]Resumo Modelo Financ'!$27:$27,'[1]Resumo Modelo Financ'!$13:$13,AM$3)+SUMIFS('[1]Resumo Modelo Financ'!$29:$29,'[1]Resumo Modelo Financ'!$13:$13,AM$3)</f>
        <v>634342.09612200293</v>
      </c>
      <c r="AN76" s="1">
        <f ca="1">SUMIFS('[1]Resumo Modelo Financ'!$27:$27,'[1]Resumo Modelo Financ'!$13:$13,AN$3)+SUMIFS('[1]Resumo Modelo Financ'!$29:$29,'[1]Resumo Modelo Financ'!$13:$13,AN$3)</f>
        <v>632994.63964114967</v>
      </c>
      <c r="AO76" s="1">
        <f ca="1">SUMIFS('[1]Resumo Modelo Financ'!$27:$27,'[1]Resumo Modelo Financ'!$13:$13,AO$3)+SUMIFS('[1]Resumo Modelo Financ'!$29:$29,'[1]Resumo Modelo Financ'!$13:$13,AO$3)</f>
        <v>631529.74306962057</v>
      </c>
      <c r="AP76" s="1">
        <f ca="1">SUMIFS('[1]Resumo Modelo Financ'!$27:$27,'[1]Resumo Modelo Financ'!$13:$13,AP$3)+SUMIFS('[1]Resumo Modelo Financ'!$29:$29,'[1]Resumo Modelo Financ'!$13:$13,AP$3)</f>
        <v>629947.35349729354</v>
      </c>
      <c r="AQ76" s="1">
        <f ca="1">SUMIFS('[1]Resumo Modelo Financ'!$27:$27,'[1]Resumo Modelo Financ'!$13:$13,AQ$3)+SUMIFS('[1]Resumo Modelo Financ'!$29:$29,'[1]Resumo Modelo Financ'!$13:$13,AQ$3)</f>
        <v>628169.59856515331</v>
      </c>
      <c r="AR76" s="1">
        <f ca="1">SUMIFS('[1]Resumo Modelo Financ'!$27:$27,'[1]Resumo Modelo Financ'!$13:$13,AR$3)+SUMIFS('[1]Resumo Modelo Financ'!$29:$29,'[1]Resumo Modelo Financ'!$13:$13,AR$3)</f>
        <v>626216.24079137936</v>
      </c>
      <c r="AS76" s="1">
        <f ca="1">SUMIFS('[1]Resumo Modelo Financ'!$27:$27,'[1]Resumo Modelo Financ'!$13:$13,AS$3)+SUMIFS('[1]Resumo Modelo Financ'!$29:$29,'[1]Resumo Modelo Financ'!$13:$13,AS$3)</f>
        <v>624227.68404106994</v>
      </c>
      <c r="AT76" s="1">
        <f ca="1">SUMIFS('[1]Resumo Modelo Financ'!$27:$27,'[1]Resumo Modelo Financ'!$13:$13,AT$3)+SUMIFS('[1]Resumo Modelo Financ'!$29:$29,'[1]Resumo Modelo Financ'!$13:$13,AT$3)</f>
        <v>621712.4329745695</v>
      </c>
      <c r="AU76" s="1">
        <f ca="1">SUMIFS('[1]Resumo Modelo Financ'!$27:$27,'[1]Resumo Modelo Financ'!$13:$13,AU$3)+SUMIFS('[1]Resumo Modelo Financ'!$29:$29,'[1]Resumo Modelo Financ'!$13:$13,AU$3)</f>
        <v>620217.92027434555</v>
      </c>
      <c r="AV76" s="1">
        <f ca="1">SUMIFS('[1]Resumo Modelo Financ'!$27:$27,'[1]Resumo Modelo Financ'!$13:$13,AV$3)+SUMIFS('[1]Resumo Modelo Financ'!$29:$29,'[1]Resumo Modelo Financ'!$13:$13,AV$3)</f>
        <v>617433.87690688099</v>
      </c>
      <c r="AW76" s="1">
        <f ca="1">SUMIFS('[1]Resumo Modelo Financ'!$27:$27,'[1]Resumo Modelo Financ'!$13:$13,AW$3)+SUMIFS('[1]Resumo Modelo Financ'!$29:$29,'[1]Resumo Modelo Financ'!$13:$13,AW$3)</f>
        <v>614664.83757339837</v>
      </c>
      <c r="AX76" s="1">
        <f ca="1">SUMIFS('[1]Resumo Modelo Financ'!$27:$27,'[1]Resumo Modelo Financ'!$13:$13,AX$3)+SUMIFS('[1]Resumo Modelo Financ'!$29:$29,'[1]Resumo Modelo Financ'!$13:$13,AX$3)</f>
        <v>612061.21135697223</v>
      </c>
      <c r="AY76" s="1">
        <f ca="1">SUMIFS('[1]Resumo Modelo Financ'!$27:$27,'[1]Resumo Modelo Financ'!$13:$13,AY$3)+SUMIFS('[1]Resumo Modelo Financ'!$29:$29,'[1]Resumo Modelo Financ'!$13:$13,AY$3)</f>
        <v>609326.14602376148</v>
      </c>
      <c r="AZ76" s="1">
        <f ca="1">SUMIFS('[1]Resumo Modelo Financ'!$27:$27,'[1]Resumo Modelo Financ'!$13:$13,AZ$3)+SUMIFS('[1]Resumo Modelo Financ'!$29:$29,'[1]Resumo Modelo Financ'!$13:$13,AZ$3)</f>
        <v>606500.47742742405</v>
      </c>
      <c r="BA76" s="1">
        <f ca="1">SUMIFS('[1]Resumo Modelo Financ'!$27:$27,'[1]Resumo Modelo Financ'!$13:$13,BA$3)+SUMIFS('[1]Resumo Modelo Financ'!$29:$29,'[1]Resumo Modelo Financ'!$13:$13,BA$3)</f>
        <v>603828.10684289213</v>
      </c>
      <c r="BB76" s="1">
        <f ca="1">SUMIFS('[1]Resumo Modelo Financ'!$27:$27,'[1]Resumo Modelo Financ'!$13:$13,BB$3)+SUMIFS('[1]Resumo Modelo Financ'!$29:$29,'[1]Resumo Modelo Financ'!$13:$13,BB$3)</f>
        <v>600499.78310690494</v>
      </c>
      <c r="BC76" s="1">
        <f ca="1">SUMIFS('[1]Resumo Modelo Financ'!$27:$27,'[1]Resumo Modelo Financ'!$13:$13,BC$3)+SUMIFS('[1]Resumo Modelo Financ'!$29:$29,'[1]Resumo Modelo Financ'!$13:$13,BC$3)</f>
        <v>597338.40127067361</v>
      </c>
      <c r="BD76" s="1">
        <f ca="1">SUMIFS('[1]Resumo Modelo Financ'!$27:$27,'[1]Resumo Modelo Financ'!$13:$13,BD$3)+SUMIFS('[1]Resumo Modelo Financ'!$29:$29,'[1]Resumo Modelo Financ'!$13:$13,BD$3)</f>
        <v>594027.39452947257</v>
      </c>
      <c r="BE76" s="1">
        <f ca="1">SUMIFS('[1]Resumo Modelo Financ'!$27:$27,'[1]Resumo Modelo Financ'!$13:$13,BE$3)+SUMIFS('[1]Resumo Modelo Financ'!$29:$29,'[1]Resumo Modelo Financ'!$13:$13,BE$3)</f>
        <v>590632.02628997434</v>
      </c>
    </row>
    <row r="77" spans="2:57" x14ac:dyDescent="0.2">
      <c r="B77" s="4"/>
    </row>
    <row r="78" spans="2:57" s="110" customFormat="1" x14ac:dyDescent="0.2">
      <c r="B78" s="110" t="s">
        <v>348</v>
      </c>
      <c r="K78" s="111"/>
      <c r="N78" s="110" t="str">
        <f>B78</f>
        <v>Valores Totais, ajustado para 2023</v>
      </c>
      <c r="O78" s="112">
        <f>SUM(O79:O84)</f>
        <v>1782909.6002632233</v>
      </c>
      <c r="P78" s="112">
        <f t="shared" ref="P78:Z78" si="85">SUM(P79:P84)</f>
        <v>2709764.6682462473</v>
      </c>
      <c r="Q78" s="112">
        <f t="shared" si="85"/>
        <v>2212562.3803268615</v>
      </c>
      <c r="R78" s="112">
        <f t="shared" si="85"/>
        <v>2403728.1822908204</v>
      </c>
      <c r="S78" s="112">
        <f t="shared" si="85"/>
        <v>2793169.5115784542</v>
      </c>
      <c r="T78" s="112">
        <f t="shared" si="85"/>
        <v>3765499.3989183251</v>
      </c>
      <c r="U78" s="112">
        <f t="shared" si="85"/>
        <v>3824802.025896457</v>
      </c>
      <c r="V78" s="112">
        <f t="shared" si="85"/>
        <v>3744415.2281707637</v>
      </c>
      <c r="W78" s="112">
        <f t="shared" si="85"/>
        <v>3834958.3996208236</v>
      </c>
      <c r="X78" s="112">
        <f t="shared" si="85"/>
        <v>5430049.308344258</v>
      </c>
      <c r="Y78" s="112">
        <f t="shared" si="85"/>
        <v>5786297.5479707196</v>
      </c>
      <c r="Z78" s="112">
        <f t="shared" si="85"/>
        <v>5746312.1485724766</v>
      </c>
      <c r="AA78"/>
      <c r="AB78" s="112">
        <f t="shared" ref="AB78" ca="1" si="86">SUM(AB79:AB84)</f>
        <v>4984625.9291067198</v>
      </c>
      <c r="AC78" s="112">
        <f t="shared" ref="AC78" ca="1" si="87">SUM(AC79:AC84)</f>
        <v>4988795.5823909203</v>
      </c>
      <c r="AD78" s="112">
        <f t="shared" ref="AD78" ca="1" si="88">SUM(AD79:AD84)</f>
        <v>4973685.1131095784</v>
      </c>
      <c r="AE78" s="112">
        <f t="shared" ref="AE78" ca="1" si="89">SUM(AE79:AE84)</f>
        <v>5097311.5342375077</v>
      </c>
      <c r="AF78" s="112">
        <f t="shared" ref="AF78" ca="1" si="90">SUM(AF79:AF84)</f>
        <v>5082963.0464642802</v>
      </c>
      <c r="AG78" s="112">
        <f t="shared" ref="AG78" ca="1" si="91">SUM(AG79:AG84)</f>
        <v>5062362.5462406641</v>
      </c>
      <c r="AH78" s="112">
        <f t="shared" ref="AH78" ca="1" si="92">SUM(AH79:AH84)</f>
        <v>5045251.0980820581</v>
      </c>
      <c r="AI78" s="112">
        <f t="shared" ref="AI78" ca="1" si="93">SUM(AI79:AI84)</f>
        <v>5026634.9100881498</v>
      </c>
      <c r="AJ78" s="112">
        <f t="shared" ref="AJ78" ca="1" si="94">SUM(AJ79:AJ84)</f>
        <v>5007689.0849754782</v>
      </c>
      <c r="AK78" s="112">
        <f t="shared" ref="AK78" ca="1" si="95">SUM(AK79:AK84)</f>
        <v>4982034.3107110886</v>
      </c>
      <c r="AL78" s="112">
        <f t="shared" ref="AL78" ca="1" si="96">SUM(AL79:AL84)</f>
        <v>4983947.0308872405</v>
      </c>
      <c r="AM78" s="112">
        <f t="shared" ref="AM78:AN78" ca="1" si="97">SUM(AM79:AM84)</f>
        <v>4988889.038516813</v>
      </c>
      <c r="AN78" s="112">
        <f t="shared" ca="1" si="97"/>
        <v>4992891.3829057207</v>
      </c>
      <c r="AO78" s="112">
        <f t="shared" ref="AO78" ca="1" si="98">SUM(AO79:AO84)</f>
        <v>4996395.3109471072</v>
      </c>
      <c r="AP78" s="112">
        <f t="shared" ref="AP78" ca="1" si="99">SUM(AP79:AP84)</f>
        <v>4999756.081546885</v>
      </c>
      <c r="AQ78" s="112">
        <f t="shared" ref="AQ78" ca="1" si="100">SUM(AQ79:AQ84)</f>
        <v>5001811.8436907493</v>
      </c>
      <c r="AR78" s="112">
        <f t="shared" ref="AR78" ca="1" si="101">SUM(AR79:AR84)</f>
        <v>5003677.7515649823</v>
      </c>
      <c r="AS78" s="112">
        <f t="shared" ref="AS78" ca="1" si="102">SUM(AS79:AS84)</f>
        <v>5004752.8791929903</v>
      </c>
      <c r="AT78" s="112">
        <f t="shared" ref="AT78" ca="1" si="103">SUM(AT79:AT84)</f>
        <v>5005270.644083187</v>
      </c>
      <c r="AU78" s="112">
        <f t="shared" ref="AU78" ca="1" si="104">SUM(AU79:AU84)</f>
        <v>5006435.7512104362</v>
      </c>
      <c r="AV78" s="112">
        <f t="shared" ref="AV78" ca="1" si="105">SUM(AV79:AV84)</f>
        <v>5005559.9136995701</v>
      </c>
      <c r="AW78" s="112">
        <f t="shared" ref="AW78" ca="1" si="106">SUM(AW79:AW84)</f>
        <v>5004317.109495841</v>
      </c>
      <c r="AX78" s="112">
        <f t="shared" ref="AX78" ca="1" si="107">SUM(AX79:AX84)</f>
        <v>5002496.361247913</v>
      </c>
      <c r="AY78" s="112">
        <f t="shared" ref="AY78" ca="1" si="108">SUM(AY79:AY84)</f>
        <v>5000516.7827707687</v>
      </c>
      <c r="AZ78" s="112">
        <f t="shared" ref="AZ78" ca="1" si="109">SUM(AZ79:AZ84)</f>
        <v>4998072.7660072744</v>
      </c>
      <c r="BA78" s="112">
        <f t="shared" ref="BA78" ca="1" si="110">SUM(BA79:BA84)</f>
        <v>4995789.8107575867</v>
      </c>
      <c r="BB78" s="112">
        <f t="shared" ref="BB78" ca="1" si="111">SUM(BB79:BB84)</f>
        <v>4991332.0195559338</v>
      </c>
      <c r="BC78" s="112">
        <f t="shared" ref="BC78" ca="1" si="112">SUM(BC79:BC84)</f>
        <v>4987049.0126500363</v>
      </c>
      <c r="BD78" s="112">
        <f t="shared" ref="BD78" ca="1" si="113">SUM(BD79:BD84)</f>
        <v>4982601.2138351705</v>
      </c>
      <c r="BE78" s="112">
        <f t="shared" ref="BE78" ca="1" si="114">SUM(BE79:BE84)</f>
        <v>4977336.550479562</v>
      </c>
    </row>
    <row r="79" spans="2:57" x14ac:dyDescent="0.2">
      <c r="B79" t="s">
        <v>265</v>
      </c>
      <c r="H79" s="5"/>
      <c r="I79" s="5"/>
      <c r="N79" t="str">
        <f>B79</f>
        <v>Pessoal</v>
      </c>
      <c r="O79" s="5">
        <f>O$10*O71</f>
        <v>590847.72436251561</v>
      </c>
      <c r="P79" s="5">
        <f t="shared" ref="P79:Z79" si="115">P$10*P71</f>
        <v>743360.9473354466</v>
      </c>
      <c r="Q79" s="5">
        <f t="shared" si="115"/>
        <v>628903.64607823698</v>
      </c>
      <c r="R79" s="5">
        <f t="shared" si="115"/>
        <v>841926.14983361436</v>
      </c>
      <c r="S79" s="5">
        <f t="shared" si="115"/>
        <v>1191839.150373711</v>
      </c>
      <c r="T79" s="5">
        <f t="shared" si="115"/>
        <v>1472395.9305723896</v>
      </c>
      <c r="U79" s="5">
        <f t="shared" si="115"/>
        <v>1169115.9105743803</v>
      </c>
      <c r="V79" s="5">
        <f t="shared" si="115"/>
        <v>1166248.8465773282</v>
      </c>
      <c r="W79" s="5">
        <f t="shared" si="115"/>
        <v>1346715.8845607967</v>
      </c>
      <c r="X79" s="5">
        <f t="shared" si="115"/>
        <v>1158913.6151168505</v>
      </c>
      <c r="Y79" s="5">
        <f t="shared" si="115"/>
        <v>1189363.4246794304</v>
      </c>
      <c r="Z79" s="5">
        <f t="shared" si="115"/>
        <v>1404835.7154216007</v>
      </c>
      <c r="AB79" s="5">
        <f>AB71</f>
        <v>1371216.2441838544</v>
      </c>
      <c r="AC79" s="5">
        <f t="shared" ref="AC79:BE79" si="116">AC71</f>
        <v>1371216.2441838544</v>
      </c>
      <c r="AD79" s="5">
        <f t="shared" si="116"/>
        <v>1371216.2441838544</v>
      </c>
      <c r="AE79" s="5">
        <f t="shared" si="116"/>
        <v>1433024.3984238545</v>
      </c>
      <c r="AF79" s="5">
        <f t="shared" si="116"/>
        <v>1433024.3984238545</v>
      </c>
      <c r="AG79" s="5">
        <f t="shared" si="116"/>
        <v>1433024.3984238545</v>
      </c>
      <c r="AH79" s="5">
        <f t="shared" si="116"/>
        <v>1433024.3984238545</v>
      </c>
      <c r="AI79" s="5">
        <f t="shared" si="116"/>
        <v>1433024.3984238545</v>
      </c>
      <c r="AJ79" s="5">
        <f t="shared" si="116"/>
        <v>1433024.3984238545</v>
      </c>
      <c r="AK79" s="5">
        <f t="shared" si="116"/>
        <v>1433024.3984238545</v>
      </c>
      <c r="AL79" s="5">
        <f t="shared" si="116"/>
        <v>1433024.3984238545</v>
      </c>
      <c r="AM79" s="5">
        <f t="shared" si="116"/>
        <v>1433024.3984238545</v>
      </c>
      <c r="AN79" s="5">
        <f t="shared" ref="AN79" si="117">AN71</f>
        <v>1433024.3984238545</v>
      </c>
      <c r="AO79" s="5">
        <f t="shared" si="116"/>
        <v>1433024.3984238545</v>
      </c>
      <c r="AP79" s="5">
        <f t="shared" si="116"/>
        <v>1433024.3984238545</v>
      </c>
      <c r="AQ79" s="5">
        <f t="shared" si="116"/>
        <v>1433024.3984238545</v>
      </c>
      <c r="AR79" s="5">
        <f t="shared" si="116"/>
        <v>1433024.3984238545</v>
      </c>
      <c r="AS79" s="5">
        <f t="shared" si="116"/>
        <v>1433024.3984238545</v>
      </c>
      <c r="AT79" s="5">
        <f t="shared" si="116"/>
        <v>1433024.3984238545</v>
      </c>
      <c r="AU79" s="5">
        <f t="shared" si="116"/>
        <v>1433024.3984238545</v>
      </c>
      <c r="AV79" s="5">
        <f t="shared" si="116"/>
        <v>1433024.3984238545</v>
      </c>
      <c r="AW79" s="5">
        <f t="shared" si="116"/>
        <v>1433024.3984238545</v>
      </c>
      <c r="AX79" s="5">
        <f t="shared" si="116"/>
        <v>1433024.3984238545</v>
      </c>
      <c r="AY79" s="5">
        <f t="shared" si="116"/>
        <v>1433024.3984238545</v>
      </c>
      <c r="AZ79" s="5">
        <f t="shared" si="116"/>
        <v>1433024.3984238545</v>
      </c>
      <c r="BA79" s="5">
        <f t="shared" si="116"/>
        <v>1433024.3984238545</v>
      </c>
      <c r="BB79" s="5">
        <f t="shared" si="116"/>
        <v>1433024.3984238545</v>
      </c>
      <c r="BC79" s="5">
        <f t="shared" si="116"/>
        <v>1433024.3984238545</v>
      </c>
      <c r="BD79" s="5">
        <f t="shared" si="116"/>
        <v>1433024.3984238545</v>
      </c>
      <c r="BE79" s="5">
        <f t="shared" si="116"/>
        <v>1433024.3984238545</v>
      </c>
    </row>
    <row r="80" spans="2:57" x14ac:dyDescent="0.2">
      <c r="B80" t="s">
        <v>267</v>
      </c>
      <c r="H80" s="5"/>
      <c r="I80" s="5"/>
      <c r="N80" t="str">
        <f t="shared" ref="N80:N84" si="118">B80</f>
        <v>Produtos Quiímicos</v>
      </c>
      <c r="O80" s="5">
        <f t="shared" ref="O80:Z84" si="119">O$10*O72</f>
        <v>42034.349398535385</v>
      </c>
      <c r="P80" s="5">
        <f t="shared" si="119"/>
        <v>38583.967491051495</v>
      </c>
      <c r="Q80" s="5">
        <f t="shared" si="119"/>
        <v>36783.327331208304</v>
      </c>
      <c r="R80" s="5">
        <f t="shared" si="119"/>
        <v>36994.082266371435</v>
      </c>
      <c r="S80" s="5">
        <f t="shared" si="119"/>
        <v>158536.49883330482</v>
      </c>
      <c r="T80" s="5">
        <f t="shared" si="119"/>
        <v>206912.01121311288</v>
      </c>
      <c r="U80" s="5">
        <f t="shared" si="119"/>
        <v>171488.20157993998</v>
      </c>
      <c r="V80" s="5">
        <f t="shared" si="119"/>
        <v>171361.35889224554</v>
      </c>
      <c r="W80" s="5">
        <f t="shared" si="119"/>
        <v>159843.83396124199</v>
      </c>
      <c r="X80" s="5">
        <f t="shared" si="119"/>
        <v>66619.290248999227</v>
      </c>
      <c r="Y80" s="5">
        <f t="shared" si="119"/>
        <v>78952.14821566458</v>
      </c>
      <c r="Z80" s="5">
        <f t="shared" si="119"/>
        <v>64206.687787300005</v>
      </c>
      <c r="AB80" s="5">
        <f t="shared" ref="AB80:BE80" si="120">AB72</f>
        <v>278829.51154121145</v>
      </c>
      <c r="AC80" s="5">
        <f t="shared" si="120"/>
        <v>280389.65841745789</v>
      </c>
      <c r="AD80" s="5">
        <f t="shared" si="120"/>
        <v>278623.52833117853</v>
      </c>
      <c r="AE80" s="5">
        <f t="shared" si="120"/>
        <v>276691.84043691988</v>
      </c>
      <c r="AF80" s="5">
        <f t="shared" si="120"/>
        <v>274652.5825637583</v>
      </c>
      <c r="AG80" s="5">
        <f t="shared" si="120"/>
        <v>272451.91221866349</v>
      </c>
      <c r="AH80" s="5">
        <f t="shared" si="120"/>
        <v>270263.63345899893</v>
      </c>
      <c r="AI80" s="5">
        <f t="shared" si="120"/>
        <v>267865.1767709885</v>
      </c>
      <c r="AJ80" s="5">
        <f t="shared" si="120"/>
        <v>265374.13769008609</v>
      </c>
      <c r="AK80" s="5">
        <f t="shared" si="120"/>
        <v>261611.73115593896</v>
      </c>
      <c r="AL80" s="5">
        <f t="shared" si="120"/>
        <v>262567.33707338624</v>
      </c>
      <c r="AM80" s="5">
        <f t="shared" si="120"/>
        <v>263563.08865362272</v>
      </c>
      <c r="AN80" s="5">
        <f t="shared" ref="AN80" si="121">AN72</f>
        <v>264395.8495233822</v>
      </c>
      <c r="AO80" s="5">
        <f t="shared" si="120"/>
        <v>265169.59413629788</v>
      </c>
      <c r="AP80" s="5">
        <f t="shared" si="120"/>
        <v>265934.59430840251</v>
      </c>
      <c r="AQ80" s="5">
        <f t="shared" si="120"/>
        <v>266533.63138440857</v>
      </c>
      <c r="AR80" s="5">
        <f t="shared" si="120"/>
        <v>267127.77703241451</v>
      </c>
      <c r="AS80" s="5">
        <f t="shared" si="120"/>
        <v>267605.94141073263</v>
      </c>
      <c r="AT80" s="5">
        <f t="shared" si="120"/>
        <v>268073.71736742888</v>
      </c>
      <c r="AU80" s="5">
        <f t="shared" si="120"/>
        <v>268484.89719490317</v>
      </c>
      <c r="AV80" s="5">
        <f t="shared" si="120"/>
        <v>268781.50305150071</v>
      </c>
      <c r="AW80" s="5">
        <f t="shared" si="120"/>
        <v>269018.69818125427</v>
      </c>
      <c r="AX80" s="5">
        <f t="shared" si="120"/>
        <v>269143.97614975303</v>
      </c>
      <c r="AY80" s="5">
        <f t="shared" si="120"/>
        <v>269259.98300581891</v>
      </c>
      <c r="AZ80" s="5">
        <f t="shared" si="120"/>
        <v>269319.31483866269</v>
      </c>
      <c r="BA80" s="5">
        <f t="shared" si="120"/>
        <v>269381.25017350668</v>
      </c>
      <c r="BB80" s="5">
        <f t="shared" si="120"/>
        <v>269208.5427078408</v>
      </c>
      <c r="BC80" s="5">
        <f t="shared" si="120"/>
        <v>269038.51763817511</v>
      </c>
      <c r="BD80" s="5">
        <f t="shared" si="120"/>
        <v>268863.28556450951</v>
      </c>
      <c r="BE80" s="5">
        <f t="shared" si="120"/>
        <v>268579.91044839984</v>
      </c>
    </row>
    <row r="81" spans="2:57" x14ac:dyDescent="0.2">
      <c r="B81" t="s">
        <v>266</v>
      </c>
      <c r="H81" s="5"/>
      <c r="I81" s="5"/>
      <c r="N81" t="str">
        <f t="shared" si="118"/>
        <v>Energia</v>
      </c>
      <c r="O81" s="5">
        <f t="shared" si="119"/>
        <v>859278.32000342547</v>
      </c>
      <c r="P81" s="5">
        <f t="shared" si="119"/>
        <v>893639.36292745383</v>
      </c>
      <c r="Q81" s="5">
        <f t="shared" si="119"/>
        <v>766657.68310833455</v>
      </c>
      <c r="R81" s="5">
        <f t="shared" si="119"/>
        <v>731262.87765823898</v>
      </c>
      <c r="S81" s="5">
        <f t="shared" si="119"/>
        <v>990759.88510347938</v>
      </c>
      <c r="T81" s="5">
        <f t="shared" si="119"/>
        <v>1209538.4395962865</v>
      </c>
      <c r="U81" s="5">
        <f t="shared" si="119"/>
        <v>1322735.9582246011</v>
      </c>
      <c r="V81" s="5">
        <f t="shared" si="119"/>
        <v>1257899.5683335676</v>
      </c>
      <c r="W81" s="5">
        <f t="shared" si="119"/>
        <v>1016994.3470940297</v>
      </c>
      <c r="X81" s="5">
        <f t="shared" si="119"/>
        <v>1085371.7506233456</v>
      </c>
      <c r="Y81" s="5">
        <f>Y$10*Y73</f>
        <v>1336835.5685931391</v>
      </c>
      <c r="Z81" s="5">
        <f t="shared" si="119"/>
        <v>1677362.2097217133</v>
      </c>
      <c r="AB81" s="5">
        <f t="shared" ref="AB81:BE81" si="122">AB73</f>
        <v>1542091.7999999996</v>
      </c>
      <c r="AC81" s="5">
        <f t="shared" si="122"/>
        <v>1549427.1599999995</v>
      </c>
      <c r="AD81" s="5">
        <f t="shared" si="122"/>
        <v>1538059.5599999996</v>
      </c>
      <c r="AE81" s="5">
        <f t="shared" si="122"/>
        <v>1525735.3199999994</v>
      </c>
      <c r="AF81" s="5">
        <f t="shared" si="122"/>
        <v>1512811.7999999998</v>
      </c>
      <c r="AG81" s="5">
        <f t="shared" si="122"/>
        <v>1498972.6799999997</v>
      </c>
      <c r="AH81" s="5">
        <f t="shared" si="122"/>
        <v>1485230.0399999998</v>
      </c>
      <c r="AI81" s="5">
        <f t="shared" si="122"/>
        <v>1470282.1199999999</v>
      </c>
      <c r="AJ81" s="5">
        <f t="shared" si="122"/>
        <v>1454810.5199999998</v>
      </c>
      <c r="AK81" s="5">
        <f t="shared" si="122"/>
        <v>1431792.84</v>
      </c>
      <c r="AL81" s="5">
        <f t="shared" si="122"/>
        <v>1436962.5599999996</v>
      </c>
      <c r="AM81" s="5">
        <f t="shared" si="122"/>
        <v>1442417.1599999995</v>
      </c>
      <c r="AN81" s="5">
        <f t="shared" ref="AN81" si="123">AN73</f>
        <v>1446934.2000000004</v>
      </c>
      <c r="AO81" s="5">
        <f t="shared" si="122"/>
        <v>1451129.2799999996</v>
      </c>
      <c r="AP81" s="5">
        <f t="shared" si="122"/>
        <v>1455307.4400000004</v>
      </c>
      <c r="AQ81" s="5">
        <f t="shared" si="122"/>
        <v>1458541.9199999997</v>
      </c>
      <c r="AR81" s="5">
        <f t="shared" si="122"/>
        <v>1461767.0399999998</v>
      </c>
      <c r="AS81" s="5">
        <f t="shared" si="122"/>
        <v>1464352.5599999996</v>
      </c>
      <c r="AT81" s="5">
        <f t="shared" si="122"/>
        <v>1466917.7999999998</v>
      </c>
      <c r="AU81" s="5">
        <f t="shared" si="122"/>
        <v>1469166.24</v>
      </c>
      <c r="AV81" s="5">
        <f t="shared" si="122"/>
        <v>1470777.84</v>
      </c>
      <c r="AW81" s="5">
        <f t="shared" si="122"/>
        <v>1472066.88</v>
      </c>
      <c r="AX81" s="5">
        <f t="shared" si="122"/>
        <v>1472724.4800000002</v>
      </c>
      <c r="AY81" s="5">
        <f t="shared" si="122"/>
        <v>1473363.9600000002</v>
      </c>
      <c r="AZ81" s="5">
        <f t="shared" si="122"/>
        <v>1473686.2799999996</v>
      </c>
      <c r="BA81" s="5">
        <f t="shared" si="122"/>
        <v>1474013.76</v>
      </c>
      <c r="BB81" s="5">
        <f t="shared" si="122"/>
        <v>1473057</v>
      </c>
      <c r="BC81" s="5">
        <f t="shared" si="122"/>
        <v>1472105.3999999997</v>
      </c>
      <c r="BD81" s="5">
        <f t="shared" si="122"/>
        <v>1471143.8400000005</v>
      </c>
      <c r="BE81" s="5">
        <f t="shared" si="122"/>
        <v>1469557.9199999997</v>
      </c>
    </row>
    <row r="82" spans="2:57" x14ac:dyDescent="0.2">
      <c r="B82" t="s">
        <v>268</v>
      </c>
      <c r="H82" s="5"/>
      <c r="I82" s="5"/>
      <c r="N82" t="str">
        <f t="shared" si="118"/>
        <v>Serviços de Terceiros</v>
      </c>
      <c r="O82" s="5">
        <f t="shared" si="119"/>
        <v>290749.20649874676</v>
      </c>
      <c r="P82" s="5">
        <f t="shared" si="119"/>
        <v>237864.03314270306</v>
      </c>
      <c r="Q82" s="5">
        <f t="shared" si="119"/>
        <v>364516.81053910882</v>
      </c>
      <c r="R82" s="5">
        <f t="shared" si="119"/>
        <v>23682.059380197643</v>
      </c>
      <c r="S82" s="5">
        <f t="shared" si="119"/>
        <v>93291.665286430158</v>
      </c>
      <c r="T82" s="5">
        <f t="shared" si="119"/>
        <v>1467.3174173979564</v>
      </c>
      <c r="U82" s="5">
        <f t="shared" si="119"/>
        <v>6057.2866290830343</v>
      </c>
      <c r="V82" s="5">
        <f t="shared" si="119"/>
        <v>10575.685593020709</v>
      </c>
      <c r="W82" s="5">
        <f t="shared" si="119"/>
        <v>0</v>
      </c>
      <c r="X82" s="5">
        <f t="shared" si="119"/>
        <v>0</v>
      </c>
      <c r="Y82" s="5">
        <f t="shared" si="119"/>
        <v>0</v>
      </c>
      <c r="Z82" s="5">
        <f t="shared" si="119"/>
        <v>0</v>
      </c>
      <c r="AB82" s="5">
        <f t="shared" ref="AB82:BE82" si="124">AB74</f>
        <v>0</v>
      </c>
      <c r="AC82" s="5">
        <f t="shared" si="124"/>
        <v>0</v>
      </c>
      <c r="AD82" s="5">
        <f t="shared" si="124"/>
        <v>0</v>
      </c>
      <c r="AE82" s="5">
        <f t="shared" si="124"/>
        <v>0</v>
      </c>
      <c r="AF82" s="5">
        <f t="shared" si="124"/>
        <v>0</v>
      </c>
      <c r="AG82" s="5">
        <f t="shared" si="124"/>
        <v>0</v>
      </c>
      <c r="AH82" s="5">
        <f t="shared" si="124"/>
        <v>0</v>
      </c>
      <c r="AI82" s="5">
        <f t="shared" si="124"/>
        <v>0</v>
      </c>
      <c r="AJ82" s="5">
        <f t="shared" si="124"/>
        <v>0</v>
      </c>
      <c r="AK82" s="5">
        <f t="shared" si="124"/>
        <v>0</v>
      </c>
      <c r="AL82" s="5">
        <f t="shared" si="124"/>
        <v>0</v>
      </c>
      <c r="AM82" s="5">
        <f t="shared" si="124"/>
        <v>0</v>
      </c>
      <c r="AN82" s="5">
        <f t="shared" ref="AN82" si="125">AN74</f>
        <v>0</v>
      </c>
      <c r="AO82" s="5">
        <f t="shared" si="124"/>
        <v>0</v>
      </c>
      <c r="AP82" s="5">
        <f t="shared" si="124"/>
        <v>0</v>
      </c>
      <c r="AQ82" s="5">
        <f t="shared" si="124"/>
        <v>0</v>
      </c>
      <c r="AR82" s="5">
        <f t="shared" si="124"/>
        <v>0</v>
      </c>
      <c r="AS82" s="5">
        <f t="shared" si="124"/>
        <v>0</v>
      </c>
      <c r="AT82" s="5">
        <f t="shared" si="124"/>
        <v>0</v>
      </c>
      <c r="AU82" s="5">
        <f t="shared" si="124"/>
        <v>0</v>
      </c>
      <c r="AV82" s="5">
        <f t="shared" si="124"/>
        <v>0</v>
      </c>
      <c r="AW82" s="5">
        <f t="shared" si="124"/>
        <v>0</v>
      </c>
      <c r="AX82" s="5">
        <f t="shared" si="124"/>
        <v>0</v>
      </c>
      <c r="AY82" s="5">
        <f t="shared" si="124"/>
        <v>0</v>
      </c>
      <c r="AZ82" s="5">
        <f t="shared" si="124"/>
        <v>0</v>
      </c>
      <c r="BA82" s="5">
        <f t="shared" si="124"/>
        <v>0</v>
      </c>
      <c r="BB82" s="5">
        <f t="shared" si="124"/>
        <v>0</v>
      </c>
      <c r="BC82" s="5">
        <f t="shared" si="124"/>
        <v>0</v>
      </c>
      <c r="BD82" s="5">
        <f t="shared" si="124"/>
        <v>0</v>
      </c>
      <c r="BE82" s="5">
        <f t="shared" si="124"/>
        <v>0</v>
      </c>
    </row>
    <row r="83" spans="2:57" x14ac:dyDescent="0.2">
      <c r="B83" t="s">
        <v>269</v>
      </c>
      <c r="H83" s="5"/>
      <c r="I83" s="5"/>
      <c r="N83" t="str">
        <f t="shared" si="118"/>
        <v>Outras despesas de exploração</v>
      </c>
      <c r="O83" s="5">
        <f t="shared" si="119"/>
        <v>0</v>
      </c>
      <c r="P83" s="5">
        <f t="shared" si="119"/>
        <v>796316.35734959238</v>
      </c>
      <c r="Q83" s="5">
        <f t="shared" si="119"/>
        <v>415700.91326997284</v>
      </c>
      <c r="R83" s="5">
        <f t="shared" si="119"/>
        <v>0</v>
      </c>
      <c r="S83" s="5">
        <f t="shared" si="119"/>
        <v>13198.77360870572</v>
      </c>
      <c r="T83" s="5">
        <f t="shared" si="119"/>
        <v>338884.82045552297</v>
      </c>
      <c r="U83" s="5">
        <f t="shared" si="119"/>
        <v>1155404.6688884525</v>
      </c>
      <c r="V83" s="5">
        <f t="shared" si="119"/>
        <v>0</v>
      </c>
      <c r="W83" s="5">
        <f t="shared" si="119"/>
        <v>1311404.3340047549</v>
      </c>
      <c r="X83" s="5">
        <f t="shared" si="119"/>
        <v>677739.91134930484</v>
      </c>
      <c r="Y83" s="5">
        <f t="shared" si="119"/>
        <v>1381779.6706622867</v>
      </c>
      <c r="Z83" s="5">
        <f t="shared" si="119"/>
        <v>722140.9948602675</v>
      </c>
      <c r="AB83" s="5">
        <f t="shared" ref="AB83:BE83" si="126">AB75</f>
        <v>1141348.3113173335</v>
      </c>
      <c r="AC83" s="5">
        <f t="shared" si="126"/>
        <v>1141348.3113173335</v>
      </c>
      <c r="AD83" s="5">
        <f t="shared" si="126"/>
        <v>1141348.3113173335</v>
      </c>
      <c r="AE83" s="5">
        <f t="shared" si="126"/>
        <v>1215542.2953173337</v>
      </c>
      <c r="AF83" s="5">
        <f t="shared" si="126"/>
        <v>1215542.2953173337</v>
      </c>
      <c r="AG83" s="5">
        <f t="shared" si="126"/>
        <v>1215542.2953173337</v>
      </c>
      <c r="AH83" s="5">
        <f t="shared" si="126"/>
        <v>1215542.2953173337</v>
      </c>
      <c r="AI83" s="5">
        <f t="shared" si="126"/>
        <v>1215542.2953173337</v>
      </c>
      <c r="AJ83" s="5">
        <f t="shared" si="126"/>
        <v>1215542.2953173337</v>
      </c>
      <c r="AK83" s="5">
        <f t="shared" si="126"/>
        <v>1215542.2953173337</v>
      </c>
      <c r="AL83" s="5">
        <f t="shared" si="126"/>
        <v>1215542.2953173337</v>
      </c>
      <c r="AM83" s="5">
        <f t="shared" si="126"/>
        <v>1215542.2953173337</v>
      </c>
      <c r="AN83" s="5">
        <f t="shared" ref="AN83" si="127">AN75</f>
        <v>1215542.2953173337</v>
      </c>
      <c r="AO83" s="5">
        <f t="shared" si="126"/>
        <v>1215542.2953173337</v>
      </c>
      <c r="AP83" s="5">
        <f t="shared" si="126"/>
        <v>1215542.2953173337</v>
      </c>
      <c r="AQ83" s="5">
        <f t="shared" si="126"/>
        <v>1215542.2953173337</v>
      </c>
      <c r="AR83" s="5">
        <f t="shared" si="126"/>
        <v>1215542.2953173337</v>
      </c>
      <c r="AS83" s="5">
        <f t="shared" si="126"/>
        <v>1215542.2953173337</v>
      </c>
      <c r="AT83" s="5">
        <f t="shared" si="126"/>
        <v>1215542.2953173337</v>
      </c>
      <c r="AU83" s="5">
        <f t="shared" si="126"/>
        <v>1215542.2953173337</v>
      </c>
      <c r="AV83" s="5">
        <f t="shared" si="126"/>
        <v>1215542.2953173337</v>
      </c>
      <c r="AW83" s="5">
        <f t="shared" si="126"/>
        <v>1215542.2953173337</v>
      </c>
      <c r="AX83" s="5">
        <f t="shared" si="126"/>
        <v>1215542.2953173337</v>
      </c>
      <c r="AY83" s="5">
        <f t="shared" si="126"/>
        <v>1215542.2953173337</v>
      </c>
      <c r="AZ83" s="5">
        <f t="shared" si="126"/>
        <v>1215542.2953173337</v>
      </c>
      <c r="BA83" s="5">
        <f t="shared" si="126"/>
        <v>1215542.2953173337</v>
      </c>
      <c r="BB83" s="5">
        <f t="shared" si="126"/>
        <v>1215542.2953173337</v>
      </c>
      <c r="BC83" s="5">
        <f t="shared" si="126"/>
        <v>1215542.2953173337</v>
      </c>
      <c r="BD83" s="5">
        <f t="shared" si="126"/>
        <v>1215542.2953173337</v>
      </c>
      <c r="BE83" s="5">
        <f t="shared" si="126"/>
        <v>1215542.2953173337</v>
      </c>
    </row>
    <row r="84" spans="2:57" x14ac:dyDescent="0.2">
      <c r="B84" t="s">
        <v>270</v>
      </c>
      <c r="H84" s="5"/>
      <c r="I84" s="5"/>
      <c r="N84" t="str">
        <f t="shared" si="118"/>
        <v>Outras despesas com os serviços</v>
      </c>
      <c r="O84" s="5">
        <f t="shared" si="119"/>
        <v>0</v>
      </c>
      <c r="P84" s="5">
        <f t="shared" si="119"/>
        <v>0</v>
      </c>
      <c r="Q84" s="5">
        <f t="shared" si="119"/>
        <v>0</v>
      </c>
      <c r="R84" s="5">
        <f t="shared" si="119"/>
        <v>769863.01315239817</v>
      </c>
      <c r="S84" s="5">
        <f t="shared" si="119"/>
        <v>345543.53837282339</v>
      </c>
      <c r="T84" s="5">
        <f t="shared" si="119"/>
        <v>536300.87966361432</v>
      </c>
      <c r="U84" s="5">
        <f t="shared" si="119"/>
        <v>0</v>
      </c>
      <c r="V84" s="5">
        <f t="shared" si="119"/>
        <v>1138329.7687746021</v>
      </c>
      <c r="W84" s="5">
        <f t="shared" si="119"/>
        <v>0</v>
      </c>
      <c r="X84" s="5">
        <f t="shared" si="119"/>
        <v>2441404.7410057583</v>
      </c>
      <c r="Y84" s="5">
        <f t="shared" si="119"/>
        <v>1799366.7358201987</v>
      </c>
      <c r="Z84" s="5">
        <f t="shared" si="119"/>
        <v>1877766.5407815946</v>
      </c>
      <c r="AB84" s="5">
        <f t="shared" ref="AB84:BE84" ca="1" si="128">AB76</f>
        <v>651140.06206432078</v>
      </c>
      <c r="AC84" s="5">
        <f t="shared" ca="1" si="128"/>
        <v>646414.20847227494</v>
      </c>
      <c r="AD84" s="5">
        <f t="shared" ca="1" si="128"/>
        <v>644437.4692772124</v>
      </c>
      <c r="AE84" s="5">
        <f t="shared" ca="1" si="128"/>
        <v>646317.68005939992</v>
      </c>
      <c r="AF84" s="5">
        <f t="shared" ca="1" si="128"/>
        <v>646931.97015933448</v>
      </c>
      <c r="AG84" s="5">
        <f t="shared" ca="1" si="128"/>
        <v>642371.26028081274</v>
      </c>
      <c r="AH84" s="5">
        <f t="shared" ca="1" si="128"/>
        <v>641190.73088187154</v>
      </c>
      <c r="AI84" s="5">
        <f t="shared" ca="1" si="128"/>
        <v>639920.91957597202</v>
      </c>
      <c r="AJ84" s="5">
        <f t="shared" ca="1" si="128"/>
        <v>638937.73354420322</v>
      </c>
      <c r="AK84" s="5">
        <f t="shared" ca="1" si="128"/>
        <v>640063.04581396154</v>
      </c>
      <c r="AL84" s="5">
        <f t="shared" ca="1" si="128"/>
        <v>635850.44007266685</v>
      </c>
      <c r="AM84" s="5">
        <f t="shared" ca="1" si="128"/>
        <v>634342.09612200293</v>
      </c>
      <c r="AN84" s="5">
        <f t="shared" ref="AN84" ca="1" si="129">AN76</f>
        <v>632994.63964114967</v>
      </c>
      <c r="AO84" s="5">
        <f t="shared" ca="1" si="128"/>
        <v>631529.74306962057</v>
      </c>
      <c r="AP84" s="5">
        <f t="shared" ca="1" si="128"/>
        <v>629947.35349729354</v>
      </c>
      <c r="AQ84" s="5">
        <f t="shared" ca="1" si="128"/>
        <v>628169.59856515331</v>
      </c>
      <c r="AR84" s="5">
        <f t="shared" ca="1" si="128"/>
        <v>626216.24079137936</v>
      </c>
      <c r="AS84" s="5">
        <f t="shared" ca="1" si="128"/>
        <v>624227.68404106994</v>
      </c>
      <c r="AT84" s="5">
        <f t="shared" ca="1" si="128"/>
        <v>621712.4329745695</v>
      </c>
      <c r="AU84" s="5">
        <f t="shared" ca="1" si="128"/>
        <v>620217.92027434555</v>
      </c>
      <c r="AV84" s="5">
        <f t="shared" ca="1" si="128"/>
        <v>617433.87690688099</v>
      </c>
      <c r="AW84" s="5">
        <f t="shared" ca="1" si="128"/>
        <v>614664.83757339837</v>
      </c>
      <c r="AX84" s="5">
        <f t="shared" ca="1" si="128"/>
        <v>612061.21135697223</v>
      </c>
      <c r="AY84" s="5">
        <f t="shared" ca="1" si="128"/>
        <v>609326.14602376148</v>
      </c>
      <c r="AZ84" s="5">
        <f t="shared" ca="1" si="128"/>
        <v>606500.47742742405</v>
      </c>
      <c r="BA84" s="5">
        <f t="shared" ca="1" si="128"/>
        <v>603828.10684289213</v>
      </c>
      <c r="BB84" s="5">
        <f t="shared" ca="1" si="128"/>
        <v>600499.78310690494</v>
      </c>
      <c r="BC84" s="5">
        <f t="shared" ca="1" si="128"/>
        <v>597338.40127067361</v>
      </c>
      <c r="BD84" s="5">
        <f t="shared" ca="1" si="128"/>
        <v>594027.39452947257</v>
      </c>
      <c r="BE84" s="5">
        <f t="shared" ca="1" si="128"/>
        <v>590632.02628997434</v>
      </c>
    </row>
    <row r="85" spans="2:57" x14ac:dyDescent="0.2">
      <c r="AB85" s="23"/>
    </row>
    <row r="86" spans="2:57" x14ac:dyDescent="0.2">
      <c r="B86" s="4" t="s">
        <v>272</v>
      </c>
      <c r="L86" s="113"/>
    </row>
    <row r="87" spans="2:57" x14ac:dyDescent="0.2">
      <c r="B87" t="s">
        <v>265</v>
      </c>
      <c r="K87" s="15"/>
      <c r="L87" s="15"/>
      <c r="O87" s="5">
        <f t="shared" ref="O87:Y87" si="130">O79/((O$37+O$49))</f>
        <v>45.034125332508815</v>
      </c>
      <c r="P87" s="5">
        <f t="shared" si="130"/>
        <v>60.499792246719835</v>
      </c>
      <c r="Q87" s="5">
        <f t="shared" si="130"/>
        <v>49.909026750118002</v>
      </c>
      <c r="R87" s="5">
        <f t="shared" si="130"/>
        <v>64.535194682938396</v>
      </c>
      <c r="S87" s="5">
        <f t="shared" si="130"/>
        <v>90.284005027930533</v>
      </c>
      <c r="T87" s="5">
        <f t="shared" si="130"/>
        <v>109.74106958130652</v>
      </c>
      <c r="U87" s="5">
        <f t="shared" si="130"/>
        <v>82.355305055958041</v>
      </c>
      <c r="V87" s="5">
        <f t="shared" si="130"/>
        <v>76.797632462618736</v>
      </c>
      <c r="W87" s="5">
        <f t="shared" si="130"/>
        <v>96.193991754342619</v>
      </c>
      <c r="X87" s="5">
        <f t="shared" si="130"/>
        <v>81.042910148031496</v>
      </c>
      <c r="Y87" s="5">
        <f t="shared" si="130"/>
        <v>82.91135759354691</v>
      </c>
      <c r="Z87" s="5">
        <f>Z79/((Z$37+Z$49))</f>
        <v>96.625332926721285</v>
      </c>
      <c r="AB87" s="5">
        <f t="shared" ref="AB87:BE87" si="131">AB79/((AB$37+AB$49))</f>
        <v>105.03741450710376</v>
      </c>
      <c r="AC87" s="5">
        <f t="shared" si="131"/>
        <v>103.5056253431089</v>
      </c>
      <c r="AD87" s="5">
        <f t="shared" si="131"/>
        <v>102.42403679405732</v>
      </c>
      <c r="AE87" s="5">
        <f t="shared" si="131"/>
        <v>105.93904293035321</v>
      </c>
      <c r="AF87" s="5">
        <f t="shared" si="131"/>
        <v>104.86511569296995</v>
      </c>
      <c r="AG87" s="5">
        <f t="shared" si="131"/>
        <v>103.81841596204124</v>
      </c>
      <c r="AH87" s="5">
        <f t="shared" si="131"/>
        <v>103.31870751597356</v>
      </c>
      <c r="AI87" s="5">
        <f t="shared" si="131"/>
        <v>102.8349305918638</v>
      </c>
      <c r="AJ87" s="5">
        <f t="shared" si="131"/>
        <v>102.36688460420601</v>
      </c>
      <c r="AK87" s="5">
        <f t="shared" si="131"/>
        <v>101.91437607062342</v>
      </c>
      <c r="AL87" s="5">
        <f t="shared" si="131"/>
        <v>101.47721847889123</v>
      </c>
      <c r="AM87" s="5">
        <f t="shared" si="131"/>
        <v>101.05523215910776</v>
      </c>
      <c r="AN87" s="5">
        <f t="shared" ref="AN87" si="132">AN79/((AN$37+AN$49))</f>
        <v>100.64824416089196</v>
      </c>
      <c r="AO87" s="5">
        <f t="shared" si="131"/>
        <v>100.25608813548938</v>
      </c>
      <c r="AP87" s="5">
        <f t="shared" si="131"/>
        <v>99.878604222674483</v>
      </c>
      <c r="AQ87" s="5">
        <f t="shared" si="131"/>
        <v>99.515638942342491</v>
      </c>
      <c r="AR87" s="5">
        <f t="shared" si="131"/>
        <v>99.167045090686983</v>
      </c>
      <c r="AS87" s="5">
        <f t="shared" si="131"/>
        <v>98.832681640865758</v>
      </c>
      <c r="AT87" s="5">
        <f t="shared" si="131"/>
        <v>98.512413648061496</v>
      </c>
      <c r="AU87" s="5">
        <f t="shared" si="131"/>
        <v>98.206112158846722</v>
      </c>
      <c r="AV87" s="5">
        <f t="shared" si="131"/>
        <v>97.913654124769579</v>
      </c>
      <c r="AW87" s="5">
        <f t="shared" si="131"/>
        <v>97.634922320078047</v>
      </c>
      <c r="AX87" s="5">
        <f t="shared" si="131"/>
        <v>97.369805263506507</v>
      </c>
      <c r="AY87" s="5">
        <f t="shared" si="131"/>
        <v>97.118197144051422</v>
      </c>
      <c r="AZ87" s="5">
        <f t="shared" si="131"/>
        <v>96.879997750666959</v>
      </c>
      <c r="BA87" s="5">
        <f t="shared" si="131"/>
        <v>96.655112405815288</v>
      </c>
      <c r="BB87" s="5">
        <f t="shared" si="131"/>
        <v>96.443451902810168</v>
      </c>
      <c r="BC87" s="5">
        <f t="shared" si="131"/>
        <v>96.244932446895263</v>
      </c>
      <c r="BD87" s="5">
        <f t="shared" si="131"/>
        <v>96.059475600003466</v>
      </c>
      <c r="BE87" s="5">
        <f t="shared" si="131"/>
        <v>95.887008229145636</v>
      </c>
    </row>
    <row r="88" spans="2:57" x14ac:dyDescent="0.2">
      <c r="B88" t="s">
        <v>319</v>
      </c>
      <c r="K88" s="15"/>
      <c r="L88" s="15"/>
      <c r="O88" s="8">
        <f t="shared" ref="O88:Y89" si="133">O80/((O$63+O$64)*1000)</f>
        <v>1.2436198046903961E-2</v>
      </c>
      <c r="P88" s="8">
        <f t="shared" si="133"/>
        <v>1.4955026159322284E-2</v>
      </c>
      <c r="Q88" s="8">
        <f t="shared" si="133"/>
        <v>1.2642056410231063E-2</v>
      </c>
      <c r="R88" s="8">
        <f t="shared" si="133"/>
        <v>1.2683105549359379E-2</v>
      </c>
      <c r="S88" s="8">
        <f t="shared" si="133"/>
        <v>5.0759617720250769E-2</v>
      </c>
      <c r="T88" s="8">
        <f t="shared" si="133"/>
        <v>6.8774205424209145E-2</v>
      </c>
      <c r="U88" s="8">
        <f t="shared" si="133"/>
        <v>5.4482209168871518E-2</v>
      </c>
      <c r="V88" s="8">
        <f t="shared" si="133"/>
        <v>5.3210707542857789E-2</v>
      </c>
      <c r="W88" s="8">
        <f t="shared" si="133"/>
        <v>5.2130922301624812E-2</v>
      </c>
      <c r="X88" s="8">
        <f t="shared" si="133"/>
        <v>2.2653381295969215E-2</v>
      </c>
      <c r="Y88" s="8">
        <f t="shared" si="133"/>
        <v>2.3837201391144269E-2</v>
      </c>
      <c r="Z88" s="8">
        <f>Z80/((Z$63+Z$64)*1000)</f>
        <v>1.5872354027202679E-2</v>
      </c>
      <c r="AB88" s="8">
        <f t="shared" ref="AB88:BE88" si="134">AB80/((AB$63+AB$64)*1000)</f>
        <v>8.4252510989298937E-2</v>
      </c>
      <c r="AC88" s="8">
        <f t="shared" si="134"/>
        <v>8.7120421450215382E-2</v>
      </c>
      <c r="AD88" s="8">
        <f t="shared" si="134"/>
        <v>8.9051321488344604E-2</v>
      </c>
      <c r="AE88" s="8">
        <f t="shared" si="134"/>
        <v>9.0678972694817561E-2</v>
      </c>
      <c r="AF88" s="8">
        <f t="shared" si="134"/>
        <v>9.2042249953308383E-2</v>
      </c>
      <c r="AG88" s="8">
        <f t="shared" si="134"/>
        <v>9.2948245470490382E-2</v>
      </c>
      <c r="AH88" s="8">
        <f t="shared" si="134"/>
        <v>9.1714415635935173E-2</v>
      </c>
      <c r="AI88" s="8">
        <f t="shared" si="134"/>
        <v>9.043259981392146E-2</v>
      </c>
      <c r="AJ88" s="8">
        <f t="shared" si="134"/>
        <v>8.9142791848455846E-2</v>
      </c>
      <c r="AK88" s="8">
        <f t="shared" si="134"/>
        <v>8.7450810273773064E-2</v>
      </c>
      <c r="AL88" s="8">
        <f t="shared" si="134"/>
        <v>8.7354729060924521E-2</v>
      </c>
      <c r="AM88" s="8">
        <f t="shared" si="134"/>
        <v>8.7282970681104105E-2</v>
      </c>
      <c r="AN88" s="8">
        <f t="shared" ref="AN88" si="135">AN80/((AN$63+AN$64)*1000)</f>
        <v>8.7168361908974132E-2</v>
      </c>
      <c r="AO88" s="8">
        <f t="shared" si="134"/>
        <v>8.7045717115827773E-2</v>
      </c>
      <c r="AP88" s="8">
        <f t="shared" si="134"/>
        <v>8.6931678356768613E-2</v>
      </c>
      <c r="AQ88" s="8">
        <f t="shared" si="134"/>
        <v>8.6775055691338185E-2</v>
      </c>
      <c r="AR88" s="8">
        <f t="shared" si="134"/>
        <v>8.6804994975802213E-2</v>
      </c>
      <c r="AS88" s="8">
        <f t="shared" si="134"/>
        <v>8.6808553771878974E-2</v>
      </c>
      <c r="AT88" s="8">
        <f t="shared" si="134"/>
        <v>8.6820131467382017E-2</v>
      </c>
      <c r="AU88" s="8">
        <f t="shared" si="134"/>
        <v>8.6824808390105992E-2</v>
      </c>
      <c r="AV88" s="8">
        <f t="shared" si="134"/>
        <v>8.6803945700786533E-2</v>
      </c>
      <c r="AW88" s="8">
        <f t="shared" si="134"/>
        <v>8.6775479849277776E-2</v>
      </c>
      <c r="AX88" s="8">
        <f t="shared" si="134"/>
        <v>8.6722552305225936E-2</v>
      </c>
      <c r="AY88" s="8">
        <f t="shared" si="134"/>
        <v>8.6678302882134309E-2</v>
      </c>
      <c r="AZ88" s="8">
        <f t="shared" si="134"/>
        <v>8.662747613323922E-2</v>
      </c>
      <c r="BA88" s="8">
        <f t="shared" si="134"/>
        <v>8.6589151591271077E-2</v>
      </c>
      <c r="BB88" s="8">
        <f t="shared" si="134"/>
        <v>8.6487094906902928E-2</v>
      </c>
      <c r="BC88" s="8">
        <f t="shared" si="134"/>
        <v>8.6397601479612576E-2</v>
      </c>
      <c r="BD88" s="8">
        <f t="shared" si="134"/>
        <v>8.6318102811123898E-2</v>
      </c>
      <c r="BE88" s="8">
        <f t="shared" si="134"/>
        <v>8.6215526724477284E-2</v>
      </c>
    </row>
    <row r="89" spans="2:57" x14ac:dyDescent="0.2">
      <c r="B89" t="s">
        <v>266</v>
      </c>
      <c r="K89" s="15"/>
      <c r="L89" s="15"/>
      <c r="O89" s="8">
        <f t="shared" si="133"/>
        <v>0.25422435503059926</v>
      </c>
      <c r="P89" s="8">
        <f t="shared" si="133"/>
        <v>0.34637184609591232</v>
      </c>
      <c r="Q89" s="8">
        <f t="shared" si="133"/>
        <v>0.26349246738669735</v>
      </c>
      <c r="R89" s="8">
        <f t="shared" si="133"/>
        <v>0.2507072400089958</v>
      </c>
      <c r="S89" s="8">
        <f t="shared" si="133"/>
        <v>0.31721775988815581</v>
      </c>
      <c r="T89" s="8">
        <f t="shared" si="133"/>
        <v>0.40203101127654889</v>
      </c>
      <c r="U89" s="8">
        <f t="shared" si="133"/>
        <v>0.42023635729590836</v>
      </c>
      <c r="V89" s="8">
        <f t="shared" si="133"/>
        <v>0.39059987900173809</v>
      </c>
      <c r="W89" s="8">
        <f t="shared" si="133"/>
        <v>0.33167906434480127</v>
      </c>
      <c r="X89" s="8">
        <f t="shared" si="133"/>
        <v>0.36907238163068867</v>
      </c>
      <c r="Y89" s="8">
        <f t="shared" si="133"/>
        <v>0.40361686661588553</v>
      </c>
      <c r="Z89" s="8">
        <f>Z81/((Z$63+Z$64)*1000)</f>
        <v>0.41465597653551833</v>
      </c>
      <c r="AB89" s="8">
        <f t="shared" ref="AB89:BE89" si="136">AB81/((AB$63+AB$64)*1000)</f>
        <v>0.46596612248056318</v>
      </c>
      <c r="AC89" s="8">
        <f t="shared" si="136"/>
        <v>0.48142555594769959</v>
      </c>
      <c r="AD89" s="8">
        <f t="shared" si="136"/>
        <v>0.49158173096918251</v>
      </c>
      <c r="AE89" s="8">
        <f t="shared" si="136"/>
        <v>0.50002237580742881</v>
      </c>
      <c r="AF89" s="8">
        <f t="shared" si="136"/>
        <v>0.50697721655535621</v>
      </c>
      <c r="AG89" s="8">
        <f t="shared" si="136"/>
        <v>0.51138154795690449</v>
      </c>
      <c r="AH89" s="8">
        <f t="shared" si="136"/>
        <v>0.50401529595435479</v>
      </c>
      <c r="AI89" s="8">
        <f t="shared" si="136"/>
        <v>0.49637446783610661</v>
      </c>
      <c r="AJ89" s="8">
        <f t="shared" si="136"/>
        <v>0.48869069341925031</v>
      </c>
      <c r="AK89" s="8">
        <f t="shared" si="136"/>
        <v>0.47861555538406608</v>
      </c>
      <c r="AL89" s="8">
        <f t="shared" si="136"/>
        <v>0.47806965062226581</v>
      </c>
      <c r="AM89" s="8">
        <f t="shared" si="136"/>
        <v>0.4776786284048235</v>
      </c>
      <c r="AN89" s="8">
        <f t="shared" ref="AN89" si="137">AN81/((AN$63+AN$64)*1000)</f>
        <v>0.47703806331089094</v>
      </c>
      <c r="AO89" s="8">
        <f t="shared" si="136"/>
        <v>0.47635396968043314</v>
      </c>
      <c r="AP89" s="8">
        <f t="shared" si="136"/>
        <v>0.47572719379855077</v>
      </c>
      <c r="AQ89" s="8">
        <f t="shared" si="136"/>
        <v>0.47485585844741912</v>
      </c>
      <c r="AR89" s="8">
        <f t="shared" si="136"/>
        <v>0.47501117994028752</v>
      </c>
      <c r="AS89" s="8">
        <f t="shared" si="136"/>
        <v>0.4750205741906236</v>
      </c>
      <c r="AT89" s="8">
        <f t="shared" si="136"/>
        <v>0.4750857245482315</v>
      </c>
      <c r="AU89" s="8">
        <f t="shared" si="136"/>
        <v>0.47511081112548342</v>
      </c>
      <c r="AV89" s="8">
        <f t="shared" si="136"/>
        <v>0.47499295268401581</v>
      </c>
      <c r="AW89" s="8">
        <f t="shared" si="136"/>
        <v>0.47483431726430947</v>
      </c>
      <c r="AX89" s="8">
        <f t="shared" si="136"/>
        <v>0.47453570232210412</v>
      </c>
      <c r="AY89" s="8">
        <f t="shared" si="136"/>
        <v>0.47429508891316002</v>
      </c>
      <c r="AZ89" s="8">
        <f t="shared" si="136"/>
        <v>0.4740162179792361</v>
      </c>
      <c r="BA89" s="8">
        <f t="shared" si="136"/>
        <v>0.47380283828236563</v>
      </c>
      <c r="BB89" s="8">
        <f t="shared" si="136"/>
        <v>0.47324063077945971</v>
      </c>
      <c r="BC89" s="8">
        <f t="shared" si="136"/>
        <v>0.4727441141206265</v>
      </c>
      <c r="BD89" s="8">
        <f t="shared" si="136"/>
        <v>0.47230824009477218</v>
      </c>
      <c r="BE89" s="8">
        <f t="shared" si="136"/>
        <v>0.47173561832454652</v>
      </c>
    </row>
    <row r="90" spans="2:57" x14ac:dyDescent="0.2">
      <c r="B90" t="s">
        <v>268</v>
      </c>
      <c r="K90" s="15"/>
      <c r="L90" s="15"/>
      <c r="O90" s="5">
        <f t="shared" ref="O90:Z92" si="138">O82/((O$37+O$49))</f>
        <v>22.160762690453261</v>
      </c>
      <c r="P90" s="5">
        <f t="shared" si="138"/>
        <v>19.35900001161415</v>
      </c>
      <c r="Q90" s="5">
        <f t="shared" si="138"/>
        <v>28.927609756297819</v>
      </c>
      <c r="R90" s="5">
        <f t="shared" si="138"/>
        <v>1.8152735995858993</v>
      </c>
      <c r="S90" s="5">
        <f t="shared" si="138"/>
        <v>7.0670150205613327</v>
      </c>
      <c r="T90" s="5">
        <f t="shared" si="138"/>
        <v>0.10936255626428833</v>
      </c>
      <c r="U90" s="5">
        <f t="shared" si="138"/>
        <v>0.42668967519604356</v>
      </c>
      <c r="V90" s="5">
        <f t="shared" si="138"/>
        <v>0.69641021947983073</v>
      </c>
      <c r="W90" s="5">
        <f t="shared" si="138"/>
        <v>0</v>
      </c>
      <c r="X90" s="5">
        <f t="shared" si="138"/>
        <v>0</v>
      </c>
      <c r="Y90" s="5">
        <f t="shared" si="138"/>
        <v>0</v>
      </c>
      <c r="Z90" s="5">
        <f t="shared" si="138"/>
        <v>0</v>
      </c>
      <c r="AB90" s="5">
        <f t="shared" ref="AB90:BE90" si="139">AB82/((AB$37+AB$49))</f>
        <v>0</v>
      </c>
      <c r="AC90" s="5">
        <f t="shared" si="139"/>
        <v>0</v>
      </c>
      <c r="AD90" s="5">
        <f t="shared" si="139"/>
        <v>0</v>
      </c>
      <c r="AE90" s="5">
        <f t="shared" si="139"/>
        <v>0</v>
      </c>
      <c r="AF90" s="5">
        <f t="shared" si="139"/>
        <v>0</v>
      </c>
      <c r="AG90" s="5">
        <f t="shared" si="139"/>
        <v>0</v>
      </c>
      <c r="AH90" s="5">
        <f t="shared" si="139"/>
        <v>0</v>
      </c>
      <c r="AI90" s="5">
        <f t="shared" si="139"/>
        <v>0</v>
      </c>
      <c r="AJ90" s="5">
        <f t="shared" si="139"/>
        <v>0</v>
      </c>
      <c r="AK90" s="5">
        <f t="shared" si="139"/>
        <v>0</v>
      </c>
      <c r="AL90" s="5">
        <f t="shared" si="139"/>
        <v>0</v>
      </c>
      <c r="AM90" s="5">
        <f t="shared" si="139"/>
        <v>0</v>
      </c>
      <c r="AN90" s="5">
        <f t="shared" ref="AN90" si="140">AN82/((AN$37+AN$49))</f>
        <v>0</v>
      </c>
      <c r="AO90" s="5">
        <f t="shared" si="139"/>
        <v>0</v>
      </c>
      <c r="AP90" s="5">
        <f t="shared" si="139"/>
        <v>0</v>
      </c>
      <c r="AQ90" s="5">
        <f t="shared" si="139"/>
        <v>0</v>
      </c>
      <c r="AR90" s="5">
        <f t="shared" si="139"/>
        <v>0</v>
      </c>
      <c r="AS90" s="5">
        <f t="shared" si="139"/>
        <v>0</v>
      </c>
      <c r="AT90" s="5">
        <f t="shared" si="139"/>
        <v>0</v>
      </c>
      <c r="AU90" s="5">
        <f t="shared" si="139"/>
        <v>0</v>
      </c>
      <c r="AV90" s="5">
        <f t="shared" si="139"/>
        <v>0</v>
      </c>
      <c r="AW90" s="5">
        <f t="shared" si="139"/>
        <v>0</v>
      </c>
      <c r="AX90" s="5">
        <f t="shared" si="139"/>
        <v>0</v>
      </c>
      <c r="AY90" s="5">
        <f t="shared" si="139"/>
        <v>0</v>
      </c>
      <c r="AZ90" s="5">
        <f t="shared" si="139"/>
        <v>0</v>
      </c>
      <c r="BA90" s="5">
        <f t="shared" si="139"/>
        <v>0</v>
      </c>
      <c r="BB90" s="5">
        <f t="shared" si="139"/>
        <v>0</v>
      </c>
      <c r="BC90" s="5">
        <f t="shared" si="139"/>
        <v>0</v>
      </c>
      <c r="BD90" s="5">
        <f t="shared" si="139"/>
        <v>0</v>
      </c>
      <c r="BE90" s="5">
        <f t="shared" si="139"/>
        <v>0</v>
      </c>
    </row>
    <row r="91" spans="2:57" x14ac:dyDescent="0.2">
      <c r="B91" t="s">
        <v>269</v>
      </c>
      <c r="K91" s="15"/>
      <c r="L91" s="15"/>
      <c r="O91" s="5">
        <f t="shared" si="138"/>
        <v>0</v>
      </c>
      <c r="P91" s="5">
        <f t="shared" si="138"/>
        <v>64.809665284413796</v>
      </c>
      <c r="Q91" s="5">
        <f t="shared" si="138"/>
        <v>32.989517758112278</v>
      </c>
      <c r="R91" s="5">
        <f t="shared" si="138"/>
        <v>0</v>
      </c>
      <c r="S91" s="5">
        <f t="shared" si="138"/>
        <v>0.99983134676961749</v>
      </c>
      <c r="T91" s="5">
        <f t="shared" si="138"/>
        <v>25.257868409892151</v>
      </c>
      <c r="U91" s="5">
        <f t="shared" si="138"/>
        <v>81.389452584421846</v>
      </c>
      <c r="V91" s="5">
        <f t="shared" si="138"/>
        <v>0</v>
      </c>
      <c r="W91" s="5">
        <f t="shared" si="138"/>
        <v>93.671738143196777</v>
      </c>
      <c r="X91" s="5">
        <f t="shared" si="138"/>
        <v>47.394399395056283</v>
      </c>
      <c r="Y91" s="5">
        <f t="shared" si="138"/>
        <v>96.324828906398508</v>
      </c>
      <c r="Z91" s="5">
        <f t="shared" si="138"/>
        <v>49.669234119283821</v>
      </c>
      <c r="AB91" s="5">
        <f t="shared" ref="AB91:BE91" si="141">AB83/((AB$37+AB$49))</f>
        <v>87.429153630087413</v>
      </c>
      <c r="AC91" s="5">
        <f t="shared" si="141"/>
        <v>86.154150520231241</v>
      </c>
      <c r="AD91" s="5">
        <f t="shared" si="141"/>
        <v>85.253877299842898</v>
      </c>
      <c r="AE91" s="5">
        <f t="shared" si="141"/>
        <v>89.8612665275745</v>
      </c>
      <c r="AF91" s="5">
        <f t="shared" si="141"/>
        <v>88.950323224328287</v>
      </c>
      <c r="AG91" s="5">
        <f t="shared" si="141"/>
        <v>88.062475261069252</v>
      </c>
      <c r="AH91" s="5">
        <f t="shared" si="141"/>
        <v>87.638604772757503</v>
      </c>
      <c r="AI91" s="5">
        <f t="shared" si="141"/>
        <v>87.228247968364826</v>
      </c>
      <c r="AJ91" s="5">
        <f t="shared" si="141"/>
        <v>86.831234704126359</v>
      </c>
      <c r="AK91" s="5">
        <f t="shared" si="141"/>
        <v>86.447400861404191</v>
      </c>
      <c r="AL91" s="5">
        <f t="shared" si="141"/>
        <v>86.076588233891357</v>
      </c>
      <c r="AM91" s="5">
        <f t="shared" si="141"/>
        <v>85.718644419182908</v>
      </c>
      <c r="AN91" s="5">
        <f t="shared" ref="AN91" si="142">AN83/((AN$37+AN$49))</f>
        <v>85.373422714610427</v>
      </c>
      <c r="AO91" s="5">
        <f t="shared" si="141"/>
        <v>85.040782017240119</v>
      </c>
      <c r="AP91" s="5">
        <f t="shared" si="141"/>
        <v>84.720586727939349</v>
      </c>
      <c r="AQ91" s="5">
        <f t="shared" si="141"/>
        <v>84.412706659420962</v>
      </c>
      <c r="AR91" s="5">
        <f t="shared" si="141"/>
        <v>84.117016948177465</v>
      </c>
      <c r="AS91" s="5">
        <f t="shared" si="141"/>
        <v>83.833397970222208</v>
      </c>
      <c r="AT91" s="5">
        <f t="shared" si="141"/>
        <v>83.561735260558535</v>
      </c>
      <c r="AU91" s="5">
        <f t="shared" si="141"/>
        <v>83.301919436299897</v>
      </c>
      <c r="AV91" s="5">
        <f t="shared" si="141"/>
        <v>83.053846123370178</v>
      </c>
      <c r="AW91" s="5">
        <f t="shared" si="141"/>
        <v>82.817415886714514</v>
      </c>
      <c r="AX91" s="5">
        <f t="shared" si="141"/>
        <v>82.592534163955861</v>
      </c>
      <c r="AY91" s="5">
        <f t="shared" si="141"/>
        <v>82.379111202435254</v>
      </c>
      <c r="AZ91" s="5">
        <f t="shared" si="141"/>
        <v>82.177061999577148</v>
      </c>
      <c r="BA91" s="5">
        <f t="shared" si="141"/>
        <v>81.98630624652445</v>
      </c>
      <c r="BB91" s="5">
        <f t="shared" si="141"/>
        <v>81.806768274991057</v>
      </c>
      <c r="BC91" s="5">
        <f t="shared" si="141"/>
        <v>81.638377007282457</v>
      </c>
      <c r="BD91" s="5">
        <f t="shared" si="141"/>
        <v>81.481065909438541</v>
      </c>
      <c r="BE91" s="5">
        <f t="shared" si="141"/>
        <v>81.334772947455164</v>
      </c>
    </row>
    <row r="92" spans="2:57" x14ac:dyDescent="0.2">
      <c r="B92" t="s">
        <v>270</v>
      </c>
      <c r="K92" s="15"/>
      <c r="L92" s="15"/>
      <c r="O92" s="5">
        <f t="shared" si="138"/>
        <v>0</v>
      </c>
      <c r="P92" s="5">
        <f t="shared" si="138"/>
        <v>0</v>
      </c>
      <c r="Q92" s="5">
        <f t="shared" si="138"/>
        <v>0</v>
      </c>
      <c r="R92" s="5">
        <f t="shared" si="138"/>
        <v>59.011422133404736</v>
      </c>
      <c r="S92" s="5">
        <f t="shared" si="138"/>
        <v>26.175557789017756</v>
      </c>
      <c r="T92" s="5">
        <f t="shared" si="138"/>
        <v>39.971743285653595</v>
      </c>
      <c r="U92" s="5">
        <f t="shared" si="138"/>
        <v>0</v>
      </c>
      <c r="V92" s="5">
        <f t="shared" si="138"/>
        <v>74.959157696207171</v>
      </c>
      <c r="W92" s="5">
        <f t="shared" si="138"/>
        <v>0</v>
      </c>
      <c r="X92" s="5">
        <f t="shared" si="138"/>
        <v>170.72760426613695</v>
      </c>
      <c r="Y92" s="5">
        <f t="shared" si="138"/>
        <v>125.43511577693961</v>
      </c>
      <c r="Z92" s="5">
        <f t="shared" si="138"/>
        <v>129.15376166047147</v>
      </c>
      <c r="AB92" s="5">
        <f t="shared" ref="AB92:BE92" ca="1" si="143">AB84/((AB$37+AB$49))</f>
        <v>49.878397292426591</v>
      </c>
      <c r="AC92" s="5">
        <f t="shared" ca="1" si="143"/>
        <v>48.794278190904031</v>
      </c>
      <c r="AD92" s="5">
        <f t="shared" ca="1" si="143"/>
        <v>48.136745276092448</v>
      </c>
      <c r="AE92" s="5">
        <f t="shared" ca="1" si="143"/>
        <v>47.780258682104574</v>
      </c>
      <c r="AF92" s="5">
        <f t="shared" ca="1" si="143"/>
        <v>47.34085195678152</v>
      </c>
      <c r="AG92" s="5">
        <f t="shared" ca="1" si="143"/>
        <v>46.537914340638309</v>
      </c>
      <c r="AH92" s="5">
        <f t="shared" ca="1" si="143"/>
        <v>46.228799494831151</v>
      </c>
      <c r="AI92" s="5">
        <f t="shared" ca="1" si="143"/>
        <v>45.921216290005425</v>
      </c>
      <c r="AJ92" s="5">
        <f t="shared" ca="1" si="143"/>
        <v>45.64197602701725</v>
      </c>
      <c r="AK92" s="5">
        <f t="shared" ca="1" si="143"/>
        <v>45.520247967682394</v>
      </c>
      <c r="AL92" s="5">
        <f t="shared" ca="1" si="143"/>
        <v>45.02668209844979</v>
      </c>
      <c r="AM92" s="5">
        <f t="shared" ca="1" si="143"/>
        <v>44.733074930482616</v>
      </c>
      <c r="AN92" s="5">
        <f t="shared" ref="AN92" ca="1" si="144">AN84/((AN$37+AN$49))</f>
        <v>44.458279365802127</v>
      </c>
      <c r="AO92" s="5">
        <f t="shared" ca="1" si="143"/>
        <v>44.182570548700362</v>
      </c>
      <c r="AP92" s="5">
        <f t="shared" ca="1" si="143"/>
        <v>43.905925447103016</v>
      </c>
      <c r="AQ92" s="5">
        <f t="shared" ca="1" si="143"/>
        <v>43.622913213565717</v>
      </c>
      <c r="AR92" s="5">
        <f t="shared" ca="1" si="143"/>
        <v>43.334931530392204</v>
      </c>
      <c r="AS92" s="5">
        <f t="shared" ca="1" si="143"/>
        <v>43.051671720385016</v>
      </c>
      <c r="AT92" s="5">
        <f t="shared" ca="1" si="143"/>
        <v>42.73925303344226</v>
      </c>
      <c r="AU92" s="5">
        <f t="shared" ca="1" si="143"/>
        <v>42.503945298057332</v>
      </c>
      <c r="AV92" s="5">
        <f t="shared" ca="1" si="143"/>
        <v>42.187144290682681</v>
      </c>
      <c r="AW92" s="5">
        <f t="shared" ca="1" si="143"/>
        <v>41.878389324960956</v>
      </c>
      <c r="AX92" s="5">
        <f t="shared" ca="1" si="143"/>
        <v>41.587764328871621</v>
      </c>
      <c r="AY92" s="5">
        <f t="shared" ca="1" si="143"/>
        <v>41.294940155692792</v>
      </c>
      <c r="AZ92" s="5">
        <f t="shared" ca="1" si="143"/>
        <v>41.002626998935526</v>
      </c>
      <c r="BA92" s="5">
        <f t="shared" ca="1" si="143"/>
        <v>40.727201577923147</v>
      </c>
      <c r="BB92" s="5">
        <f t="shared" ca="1" si="143"/>
        <v>40.414016686259558</v>
      </c>
      <c r="BC92" s="5">
        <f t="shared" ca="1" si="143"/>
        <v>40.118503314713266</v>
      </c>
      <c r="BD92" s="5">
        <f t="shared" ca="1" si="143"/>
        <v>39.819252256485257</v>
      </c>
      <c r="BE92" s="5">
        <f t="shared" ca="1" si="143"/>
        <v>39.520567847661134</v>
      </c>
    </row>
    <row r="94" spans="2:57" s="9" customFormat="1" x14ac:dyDescent="0.2">
      <c r="B94" s="9" t="s">
        <v>273</v>
      </c>
      <c r="K94" s="25"/>
    </row>
    <row r="96" spans="2:57" x14ac:dyDescent="0.2">
      <c r="B96" t="s">
        <v>280</v>
      </c>
      <c r="O96" s="5">
        <f>SUMIFS(Tabela1[AG011 - Volume de água faturado],Tabela1[Ano de Referência],'Valuation (FCF) Guara'!O$2)</f>
        <v>1540</v>
      </c>
      <c r="P96" s="5">
        <f>SUMIFS(Tabela1[AG011 - Volume de água faturado],Tabela1[Ano de Referência],'Valuation (FCF) Guara'!P$2)</f>
        <v>1138</v>
      </c>
      <c r="Q96" s="5">
        <f>SUMIFS(Tabela1[AG011 - Volume de água faturado],Tabela1[Ano de Referência],'Valuation (FCF) Guara'!Q$2)</f>
        <v>1346</v>
      </c>
      <c r="R96" s="5">
        <f>SUMIFS(Tabela1[AG011 - Volume de água faturado],Tabela1[Ano de Referência],'Valuation (FCF) Guara'!R$2)</f>
        <v>1358</v>
      </c>
      <c r="S96" s="5">
        <f>SUMIFS(Tabela1[AG011 - Volume de água faturado],Tabela1[Ano de Referência],'Valuation (FCF) Guara'!S$2)</f>
        <v>1444.99</v>
      </c>
      <c r="T96" s="5">
        <f>SUMIFS(Tabela1[AG011 - Volume de água faturado],Tabela1[Ano de Referência],'Valuation (FCF) Guara'!T$2)</f>
        <v>1391.04</v>
      </c>
      <c r="U96" s="5">
        <f>SUMIFS(Tabela1[AG011 - Volume de água faturado],Tabela1[Ano de Referência],'Valuation (FCF) Guara'!U$2)</f>
        <v>1387.8</v>
      </c>
      <c r="V96" s="5">
        <f>SUMIFS(Tabela1[AG011 - Volume de água faturado],Tabela1[Ano de Referência],'Valuation (FCF) Guara'!V$2)</f>
        <v>1135.01</v>
      </c>
      <c r="W96" s="5">
        <f>SUMIFS(Tabela1[AG011 - Volume de água faturado],Tabela1[Ano de Referência],'Valuation (FCF) Guara'!W$2)</f>
        <v>1402.12</v>
      </c>
      <c r="X96" s="5">
        <f>SUMIFS(Tabela1[AG011 - Volume de água faturado],Tabela1[Ano de Referência],'Valuation (FCF) Guara'!X$2)</f>
        <v>1437.91</v>
      </c>
      <c r="Y96" s="5">
        <f>SUMIFS(Tabela1[AG011 - Volume de água faturado],Tabela1[Ano de Referência],'Valuation (FCF) Guara'!Y$2)</f>
        <v>1659.12</v>
      </c>
      <c r="Z96" s="5">
        <f>SUMIFS(Tabela1[AG011 - Volume de água faturado],Tabela1[Ano de Referência],'Valuation (FCF) Guara'!Z$2)</f>
        <v>1708.09</v>
      </c>
      <c r="AA96" s="5"/>
      <c r="AB96" s="5">
        <f>AB62*AB99</f>
        <v>1743.561042100416</v>
      </c>
      <c r="AC96" s="5">
        <f>AC62*AC99</f>
        <v>1775.7716274104062</v>
      </c>
      <c r="AD96" s="5">
        <f t="shared" ref="AD96:BE96" si="145">AD62*AD99</f>
        <v>1800.873536895939</v>
      </c>
      <c r="AE96" s="5">
        <f t="shared" si="145"/>
        <v>1825.8946072437632</v>
      </c>
      <c r="AF96" s="5">
        <f t="shared" si="145"/>
        <v>1850.8255583388527</v>
      </c>
      <c r="AG96" s="5">
        <f t="shared" si="145"/>
        <v>1875.6570859399753</v>
      </c>
      <c r="AH96" s="5">
        <f t="shared" si="145"/>
        <v>1881.713271762796</v>
      </c>
      <c r="AI96" s="5">
        <f t="shared" si="145"/>
        <v>1887.5358561623123</v>
      </c>
      <c r="AJ96" s="5">
        <f t="shared" si="145"/>
        <v>1893.1225181982597</v>
      </c>
      <c r="AK96" s="5">
        <f t="shared" si="145"/>
        <v>1898.4710246557188</v>
      </c>
      <c r="AL96" s="5">
        <f t="shared" si="145"/>
        <v>1903.5792315301439</v>
      </c>
      <c r="AM96" s="5">
        <f t="shared" si="145"/>
        <v>1908.4450854571826</v>
      </c>
      <c r="AN96" s="5">
        <f t="shared" ref="AN96" si="146">AN62*AN99</f>
        <v>1913.0666250859417</v>
      </c>
      <c r="AO96" s="5">
        <f t="shared" si="145"/>
        <v>1917.4419823944256</v>
      </c>
      <c r="AP96" s="5">
        <f t="shared" si="145"/>
        <v>1921.5693839459157</v>
      </c>
      <c r="AQ96" s="5">
        <f t="shared" si="145"/>
        <v>1925.4471520850971</v>
      </c>
      <c r="AR96" s="5">
        <f t="shared" si="145"/>
        <v>1929.0737060728177</v>
      </c>
      <c r="AS96" s="5">
        <f t="shared" si="145"/>
        <v>1932.4475631584028</v>
      </c>
      <c r="AT96" s="5">
        <f t="shared" si="145"/>
        <v>1935.5673395885065</v>
      </c>
      <c r="AU96" s="5">
        <f t="shared" si="145"/>
        <v>1938.431751551542</v>
      </c>
      <c r="AV96" s="5">
        <f t="shared" si="145"/>
        <v>1941.0396160567891</v>
      </c>
      <c r="AW96" s="5">
        <f t="shared" si="145"/>
        <v>1943.3898517473401</v>
      </c>
      <c r="AX96" s="5">
        <f t="shared" si="145"/>
        <v>1945.481479646098</v>
      </c>
      <c r="AY96" s="5">
        <f t="shared" si="145"/>
        <v>1947.313623834114</v>
      </c>
      <c r="AZ96" s="5">
        <f t="shared" si="145"/>
        <v>1948.885512060599</v>
      </c>
      <c r="BA96" s="5">
        <f t="shared" si="145"/>
        <v>1950.1964762840303</v>
      </c>
      <c r="BB96" s="5">
        <f t="shared" si="145"/>
        <v>1951.2459531438035</v>
      </c>
      <c r="BC96" s="5">
        <f t="shared" si="145"/>
        <v>1952.0334843619864</v>
      </c>
      <c r="BD96" s="5">
        <f t="shared" si="145"/>
        <v>1952.5587170747554</v>
      </c>
      <c r="BE96" s="5">
        <f t="shared" si="145"/>
        <v>1952.8214040931966</v>
      </c>
    </row>
    <row r="97" spans="2:57" x14ac:dyDescent="0.2">
      <c r="B97" t="s">
        <v>281</v>
      </c>
      <c r="O97" s="5">
        <f>SUMIFS(Tabela1[ES007 - Volume de esgotos faturado],Tabela1[Ano de Referência],'Valuation (FCF) Guara'!O$2)</f>
        <v>900</v>
      </c>
      <c r="P97" s="5">
        <f>SUMIFS(Tabela1[ES007 - Volume de esgotos faturado],Tabela1[Ano de Referência],'Valuation (FCF) Guara'!P$2)</f>
        <v>910</v>
      </c>
      <c r="Q97" s="5">
        <f>SUMIFS(Tabela1[ES007 - Volume de esgotos faturado],Tabela1[Ano de Referência],'Valuation (FCF) Guara'!Q$2)</f>
        <v>1076.8</v>
      </c>
      <c r="R97" s="5">
        <f>SUMIFS(Tabela1[ES007 - Volume de esgotos faturado],Tabela1[Ano de Referência],'Valuation (FCF) Guara'!R$2)</f>
        <v>1086.4000000000001</v>
      </c>
      <c r="S97" s="5">
        <f>SUMIFS(Tabela1[ES007 - Volume de esgotos faturado],Tabela1[Ano de Referência],'Valuation (FCF) Guara'!S$2)</f>
        <v>1442.99</v>
      </c>
      <c r="T97" s="5">
        <f>SUMIFS(Tabela1[ES007 - Volume de esgotos faturado],Tabela1[Ano de Referência],'Valuation (FCF) Guara'!T$2)</f>
        <v>1360.9</v>
      </c>
      <c r="U97" s="5">
        <f>SUMIFS(Tabela1[ES007 - Volume de esgotos faturado],Tabela1[Ano de Referência],'Valuation (FCF) Guara'!U$2)</f>
        <v>1364.55</v>
      </c>
      <c r="V97" s="5">
        <f>SUMIFS(Tabela1[ES007 - Volume de esgotos faturado],Tabela1[Ano de Referência],'Valuation (FCF) Guara'!V$2)</f>
        <v>1317.63</v>
      </c>
      <c r="W97" s="5">
        <f>SUMIFS(Tabela1[ES007 - Volume de esgotos faturado],Tabela1[Ano de Referência],'Valuation (FCF) Guara'!W$2)</f>
        <v>1121.69</v>
      </c>
      <c r="X97" s="5">
        <f>SUMIFS(Tabela1[ES007 - Volume de esgotos faturado],Tabela1[Ano de Referência],'Valuation (FCF) Guara'!X$2)</f>
        <v>1150.33</v>
      </c>
      <c r="Y97" s="5">
        <f>SUMIFS(Tabela1[ES007 - Volume de esgotos faturado],Tabela1[Ano de Referência],'Valuation (FCF) Guara'!Y$2)</f>
        <v>1327.3</v>
      </c>
      <c r="Z97" s="5">
        <f>SUMIFS(Tabela1[ES007 - Volume de esgotos faturado],Tabela1[Ano de Referência],'Valuation (FCF) Guara'!Z$2)</f>
        <v>1366.47</v>
      </c>
      <c r="AA97" s="5"/>
      <c r="AB97" s="5">
        <f>AB64*AB99</f>
        <v>1482.0268857853534</v>
      </c>
      <c r="AC97" s="5">
        <f t="shared" ref="AC97:BE97" si="147">AC64*AC99</f>
        <v>1509.4058832988451</v>
      </c>
      <c r="AD97" s="5">
        <f t="shared" si="147"/>
        <v>1530.7425063615481</v>
      </c>
      <c r="AE97" s="5">
        <f t="shared" si="147"/>
        <v>1552.0104161571987</v>
      </c>
      <c r="AF97" s="5">
        <f t="shared" si="147"/>
        <v>1573.2017245880245</v>
      </c>
      <c r="AG97" s="5">
        <f t="shared" si="147"/>
        <v>1602.834237075979</v>
      </c>
      <c r="AH97" s="5">
        <f t="shared" si="147"/>
        <v>1616.5627652871292</v>
      </c>
      <c r="AI97" s="5">
        <f t="shared" si="147"/>
        <v>1630.1446030492698</v>
      </c>
      <c r="AJ97" s="5">
        <f t="shared" si="147"/>
        <v>1643.574549890307</v>
      </c>
      <c r="AK97" s="5">
        <f t="shared" si="147"/>
        <v>1656.8474396995364</v>
      </c>
      <c r="AL97" s="5">
        <f t="shared" si="147"/>
        <v>1669.9581440241714</v>
      </c>
      <c r="AM97" s="5">
        <f t="shared" si="147"/>
        <v>1682.9015753576973</v>
      </c>
      <c r="AN97" s="5">
        <f t="shared" ref="AN97" si="148">AN64*AN99</f>
        <v>1695.6726904170844</v>
      </c>
      <c r="AO97" s="5">
        <f t="shared" si="147"/>
        <v>1708.2664934059424</v>
      </c>
      <c r="AP97" s="5">
        <f t="shared" si="147"/>
        <v>1720.6780392606604</v>
      </c>
      <c r="AQ97" s="5">
        <f t="shared" si="147"/>
        <v>1732.9024368765874</v>
      </c>
      <c r="AR97" s="5">
        <f t="shared" si="147"/>
        <v>1736.1663354655361</v>
      </c>
      <c r="AS97" s="5">
        <f t="shared" si="147"/>
        <v>1739.2028068425627</v>
      </c>
      <c r="AT97" s="5">
        <f t="shared" si="147"/>
        <v>1742.0106056296559</v>
      </c>
      <c r="AU97" s="5">
        <f t="shared" si="147"/>
        <v>1744.5885763963879</v>
      </c>
      <c r="AV97" s="5">
        <f t="shared" si="147"/>
        <v>1746.9356544511104</v>
      </c>
      <c r="AW97" s="5">
        <f t="shared" si="147"/>
        <v>1749.0508665726061</v>
      </c>
      <c r="AX97" s="5">
        <f t="shared" si="147"/>
        <v>1750.9333316814884</v>
      </c>
      <c r="AY97" s="5">
        <f t="shared" si="147"/>
        <v>1752.5822614507026</v>
      </c>
      <c r="AZ97" s="5">
        <f t="shared" si="147"/>
        <v>1753.9969608545393</v>
      </c>
      <c r="BA97" s="5">
        <f t="shared" si="147"/>
        <v>1755.1768286556273</v>
      </c>
      <c r="BB97" s="5">
        <f t="shared" si="147"/>
        <v>1756.1213578294235</v>
      </c>
      <c r="BC97" s="5">
        <f t="shared" si="147"/>
        <v>1756.830135925788</v>
      </c>
      <c r="BD97" s="5">
        <f t="shared" si="147"/>
        <v>1757.30284536728</v>
      </c>
      <c r="BE97" s="5">
        <f t="shared" si="147"/>
        <v>1757.5392636838772</v>
      </c>
    </row>
    <row r="98" spans="2:57" x14ac:dyDescent="0.2"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</row>
    <row r="99" spans="2:57" x14ac:dyDescent="0.2">
      <c r="B99" t="s">
        <v>287</v>
      </c>
      <c r="I99">
        <v>1</v>
      </c>
      <c r="J99">
        <v>10</v>
      </c>
      <c r="K99" s="15">
        <v>1.4</v>
      </c>
      <c r="L99" s="15">
        <v>1.4</v>
      </c>
      <c r="O99" s="8">
        <f>(O96/O62)</f>
        <v>1</v>
      </c>
      <c r="P99" s="8">
        <f t="shared" ref="P99:Z99" si="149">(P96/P62)</f>
        <v>1</v>
      </c>
      <c r="Q99" s="8">
        <f t="shared" si="149"/>
        <v>1.1838170624450308</v>
      </c>
      <c r="R99" s="8">
        <f t="shared" si="149"/>
        <v>1.1849912739965096</v>
      </c>
      <c r="S99" s="8">
        <f t="shared" si="149"/>
        <v>1.1611568255600913</v>
      </c>
      <c r="T99" s="8">
        <f t="shared" si="149"/>
        <v>1.1992861392028553</v>
      </c>
      <c r="U99" s="8">
        <f t="shared" si="149"/>
        <v>1.199885873371318</v>
      </c>
      <c r="V99" s="8">
        <f t="shared" si="149"/>
        <v>0.96493942614240169</v>
      </c>
      <c r="W99" s="8">
        <f t="shared" si="149"/>
        <v>1.1818672241140968</v>
      </c>
      <c r="X99" s="8">
        <f t="shared" si="149"/>
        <v>1.2207403005348501</v>
      </c>
      <c r="Y99" s="8">
        <f t="shared" si="149"/>
        <v>1.3276358747839445</v>
      </c>
      <c r="Z99" s="8">
        <f t="shared" si="149"/>
        <v>1.3717064317435332</v>
      </c>
      <c r="AA99" s="7"/>
      <c r="AB99" s="8">
        <f t="shared" ref="AB99:BE99" si="150">IF(AND($I99&lt;AB$3,AB$3&lt;=$J99),AA99+($L99-$K99)/($J99-$I99+1),IF($I99&gt;=AB$3,$K99,$L99))</f>
        <v>1.4</v>
      </c>
      <c r="AC99" s="8">
        <f t="shared" si="150"/>
        <v>1.4</v>
      </c>
      <c r="AD99" s="8">
        <f t="shared" si="150"/>
        <v>1.4</v>
      </c>
      <c r="AE99" s="8">
        <f t="shared" si="150"/>
        <v>1.4</v>
      </c>
      <c r="AF99" s="8">
        <f t="shared" si="150"/>
        <v>1.4</v>
      </c>
      <c r="AG99" s="8">
        <f t="shared" si="150"/>
        <v>1.4</v>
      </c>
      <c r="AH99" s="8">
        <f t="shared" si="150"/>
        <v>1.4</v>
      </c>
      <c r="AI99" s="8">
        <f t="shared" si="150"/>
        <v>1.4</v>
      </c>
      <c r="AJ99" s="8">
        <f t="shared" si="150"/>
        <v>1.4</v>
      </c>
      <c r="AK99" s="8">
        <f t="shared" si="150"/>
        <v>1.4</v>
      </c>
      <c r="AL99" s="8">
        <f t="shared" si="150"/>
        <v>1.4</v>
      </c>
      <c r="AM99" s="8">
        <f t="shared" si="150"/>
        <v>1.4</v>
      </c>
      <c r="AN99" s="8">
        <f t="shared" si="150"/>
        <v>1.4</v>
      </c>
      <c r="AO99" s="8">
        <f t="shared" si="150"/>
        <v>1.4</v>
      </c>
      <c r="AP99" s="8">
        <f t="shared" si="150"/>
        <v>1.4</v>
      </c>
      <c r="AQ99" s="8">
        <f t="shared" si="150"/>
        <v>1.4</v>
      </c>
      <c r="AR99" s="8">
        <f t="shared" si="150"/>
        <v>1.4</v>
      </c>
      <c r="AS99" s="8">
        <f t="shared" si="150"/>
        <v>1.4</v>
      </c>
      <c r="AT99" s="8">
        <f t="shared" si="150"/>
        <v>1.4</v>
      </c>
      <c r="AU99" s="8">
        <f t="shared" si="150"/>
        <v>1.4</v>
      </c>
      <c r="AV99" s="8">
        <f t="shared" si="150"/>
        <v>1.4</v>
      </c>
      <c r="AW99" s="8">
        <f t="shared" si="150"/>
        <v>1.4</v>
      </c>
      <c r="AX99" s="8">
        <f t="shared" si="150"/>
        <v>1.4</v>
      </c>
      <c r="AY99" s="8">
        <f t="shared" si="150"/>
        <v>1.4</v>
      </c>
      <c r="AZ99" s="8">
        <f t="shared" si="150"/>
        <v>1.4</v>
      </c>
      <c r="BA99" s="8">
        <f t="shared" si="150"/>
        <v>1.4</v>
      </c>
      <c r="BB99" s="8">
        <f t="shared" si="150"/>
        <v>1.4</v>
      </c>
      <c r="BC99" s="8">
        <f t="shared" si="150"/>
        <v>1.4</v>
      </c>
      <c r="BD99" s="8">
        <f t="shared" si="150"/>
        <v>1.4</v>
      </c>
      <c r="BE99" s="8">
        <f t="shared" si="150"/>
        <v>1.4</v>
      </c>
    </row>
    <row r="100" spans="2:57" x14ac:dyDescent="0.2">
      <c r="K100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</row>
    <row r="101" spans="2:57" x14ac:dyDescent="0.2">
      <c r="B101" t="s">
        <v>274</v>
      </c>
      <c r="K101"/>
      <c r="O101" s="5">
        <f>SUMIFS(Tabela1[FN002 - Receita operacional direta de água],Tabela1[Ano de Referência],'Valuation (FCF) Guara'!O$2)</f>
        <v>1962058</v>
      </c>
      <c r="P101" s="5">
        <f>SUMIFS(Tabela1[FN002 - Receita operacional direta de água],Tabela1[Ano de Referência],'Valuation (FCF) Guara'!P$2)</f>
        <v>2094822.27</v>
      </c>
      <c r="Q101" s="5">
        <f>SUMIFS(Tabela1[FN002 - Receita operacional direta de água],Tabela1[Ano de Referência],'Valuation (FCF) Guara'!Q$2)</f>
        <v>2034846.95</v>
      </c>
      <c r="R101" s="5">
        <f>SUMIFS(Tabela1[FN002 - Receita operacional direta de água],Tabela1[Ano de Referência],'Valuation (FCF) Guara'!R$2)</f>
        <v>2095016.05</v>
      </c>
      <c r="S101" s="5">
        <f>SUMIFS(Tabela1[FN002 - Receita operacional direta de água],Tabela1[Ano de Referência],'Valuation (FCF) Guara'!S$2)</f>
        <v>2480426.5299999998</v>
      </c>
      <c r="T101" s="5">
        <f>SUMIFS(Tabela1[FN002 - Receita operacional direta de água],Tabela1[Ano de Referência],'Valuation (FCF) Guara'!T$2)</f>
        <v>2521786.88</v>
      </c>
      <c r="U101" s="5">
        <f>SUMIFS(Tabela1[FN002 - Receita operacional direta de água],Tabela1[Ano de Referência],'Valuation (FCF) Guara'!U$2)</f>
        <v>2722125.63</v>
      </c>
      <c r="V101" s="5">
        <f>SUMIFS(Tabela1[FN002 - Receita operacional direta de água],Tabela1[Ano de Referência],'Valuation (FCF) Guara'!V$2)</f>
        <v>3278765.63</v>
      </c>
      <c r="W101" s="5">
        <f>SUMIFS(Tabela1[FN002 - Receita operacional direta de água],Tabela1[Ano de Referência],'Valuation (FCF) Guara'!W$2)</f>
        <v>3085199.11</v>
      </c>
      <c r="X101" s="5">
        <f>SUMIFS(Tabela1[FN002 - Receita operacional direta de água],Tabela1[Ano de Referência],'Valuation (FCF) Guara'!X$2)</f>
        <v>3209329.3</v>
      </c>
      <c r="Y101" s="5">
        <f>SUMIFS(Tabela1[FN002 - Receita operacional direta de água],Tabela1[Ano de Referência],'Valuation (FCF) Guara'!Y$2)</f>
        <v>3400871.37</v>
      </c>
      <c r="Z101" s="5">
        <f>SUMIFS(Tabela1[FN002 - Receita operacional direta de água],Tabela1[Ano de Referência],'Valuation (FCF) Guara'!Z$2)</f>
        <v>3338048.25</v>
      </c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</row>
    <row r="102" spans="2:57" x14ac:dyDescent="0.2">
      <c r="B102" t="s">
        <v>275</v>
      </c>
      <c r="K102"/>
      <c r="O102" s="5">
        <f>SUMIFS(Tabela1[FN003 - Receita operacional direta de esgoto],Tabela1[Ano de Referência],'Valuation (FCF) Guara'!O$2)</f>
        <v>1761700</v>
      </c>
      <c r="P102" s="5">
        <f>SUMIFS(Tabela1[FN003 - Receita operacional direta de esgoto],Tabela1[Ano de Referência],'Valuation (FCF) Guara'!P$2)</f>
        <v>1876492.52</v>
      </c>
      <c r="Q102" s="5">
        <f>SUMIFS(Tabela1[FN003 - Receita operacional direta de esgoto],Tabela1[Ano de Referência],'Valuation (FCF) Guara'!Q$2)</f>
        <v>1611578.82</v>
      </c>
      <c r="R102" s="5">
        <f>SUMIFS(Tabela1[FN003 - Receita operacional direta de esgoto],Tabela1[Ano de Referência],'Valuation (FCF) Guara'!R$2)</f>
        <v>1630435.93</v>
      </c>
      <c r="S102" s="5">
        <f>SUMIFS(Tabela1[FN003 - Receita operacional direta de esgoto],Tabela1[Ano de Referência],'Valuation (FCF) Guara'!S$2)</f>
        <v>1839928.2</v>
      </c>
      <c r="T102" s="5">
        <f>SUMIFS(Tabela1[FN003 - Receita operacional direta de esgoto],Tabela1[Ano de Referência],'Valuation (FCF) Guara'!T$2)</f>
        <v>1927032.73</v>
      </c>
      <c r="U102" s="5">
        <f>SUMIFS(Tabela1[FN003 - Receita operacional direta de esgoto],Tabela1[Ano de Referência],'Valuation (FCF) Guara'!U$2)</f>
        <v>2102783.58</v>
      </c>
      <c r="V102" s="5">
        <f>SUMIFS(Tabela1[FN003 - Receita operacional direta de esgoto],Tabela1[Ano de Referência],'Valuation (FCF) Guara'!V$2)</f>
        <v>2565002.5699999998</v>
      </c>
      <c r="W102" s="5">
        <f>SUMIFS(Tabela1[FN003 - Receita operacional direta de esgoto],Tabela1[Ano de Referência],'Valuation (FCF) Guara'!W$2)</f>
        <v>2434039.44</v>
      </c>
      <c r="X102" s="5">
        <f>SUMIFS(Tabela1[FN003 - Receita operacional direta de esgoto],Tabela1[Ano de Referência],'Valuation (FCF) Guara'!X$2)</f>
        <v>2486162.8199999998</v>
      </c>
      <c r="Y102" s="5">
        <f>SUMIFS(Tabela1[FN003 - Receita operacional direta de esgoto],Tabela1[Ano de Referência],'Valuation (FCF) Guara'!Y$2)</f>
        <v>2626442.04</v>
      </c>
      <c r="Z102" s="5">
        <f>SUMIFS(Tabela1[FN003 - Receita operacional direta de esgoto],Tabela1[Ano de Referência],'Valuation (FCF) Guara'!Z$2)</f>
        <v>2596935.5299999998</v>
      </c>
      <c r="AA102" s="5"/>
      <c r="AB102" s="8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</row>
    <row r="103" spans="2:57" x14ac:dyDescent="0.2">
      <c r="B103" t="s">
        <v>276</v>
      </c>
      <c r="K103"/>
      <c r="O103" s="5">
        <f>SUMIFS(Tabela1[FN004 - Receita operacional indireta],Tabela1[Ano de Referência],'Valuation (FCF) Guara'!O$2)</f>
        <v>0</v>
      </c>
      <c r="P103" s="5">
        <f>SUMIFS(Tabela1[FN004 - Receita operacional indireta],Tabela1[Ano de Referência],'Valuation (FCF) Guara'!P$2)</f>
        <v>0</v>
      </c>
      <c r="Q103" s="5">
        <f>SUMIFS(Tabela1[FN004 - Receita operacional indireta],Tabela1[Ano de Referência],'Valuation (FCF) Guara'!Q$2)</f>
        <v>0</v>
      </c>
      <c r="R103" s="5">
        <f>SUMIFS(Tabela1[FN004 - Receita operacional indireta],Tabela1[Ano de Referência],'Valuation (FCF) Guara'!R$2)</f>
        <v>0</v>
      </c>
      <c r="S103" s="5">
        <f>SUMIFS(Tabela1[FN004 - Receita operacional indireta],Tabela1[Ano de Referência],'Valuation (FCF) Guara'!S$2)</f>
        <v>0</v>
      </c>
      <c r="T103" s="5">
        <f>SUMIFS(Tabela1[FN004 - Receita operacional indireta],Tabela1[Ano de Referência],'Valuation (FCF) Guara'!T$2)</f>
        <v>0</v>
      </c>
      <c r="U103" s="5">
        <f>SUMIFS(Tabela1[FN004 - Receita operacional indireta],Tabela1[Ano de Referência],'Valuation (FCF) Guara'!U$2)</f>
        <v>0</v>
      </c>
      <c r="V103" s="5">
        <f>SUMIFS(Tabela1[FN004 - Receita operacional indireta],Tabela1[Ano de Referência],'Valuation (FCF) Guara'!V$2)</f>
        <v>0</v>
      </c>
      <c r="W103" s="5">
        <f>SUMIFS(Tabela1[FN004 - Receita operacional indireta],Tabela1[Ano de Referência],'Valuation (FCF) Guara'!W$2)</f>
        <v>0</v>
      </c>
      <c r="X103" s="5">
        <f>SUMIFS(Tabela1[FN004 - Receita operacional indireta],Tabela1[Ano de Referência],'Valuation (FCF) Guara'!X$2)</f>
        <v>162211.5</v>
      </c>
      <c r="Y103" s="5">
        <f>SUMIFS(Tabela1[FN004 - Receita operacional indireta],Tabela1[Ano de Referência],'Valuation (FCF) Guara'!Y$2)</f>
        <v>131618</v>
      </c>
      <c r="Z103" s="5">
        <f>SUMIFS(Tabela1[FN004 - Receita operacional indireta],Tabela1[Ano de Referência],'Valuation (FCF) Guara'!Z$2)</f>
        <v>252085.47</v>
      </c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</row>
    <row r="104" spans="2:57" x14ac:dyDescent="0.2">
      <c r="B104" t="s">
        <v>277</v>
      </c>
      <c r="K104"/>
      <c r="O104" s="5">
        <f>SUMIFS(Tabela1[FN006 - Arrecadação total],Tabela1[Ano de Referência],'Valuation (FCF) Guara'!O$2)</f>
        <v>2402000</v>
      </c>
      <c r="P104" s="5">
        <f>SUMIFS(Tabela1[FN006 - Arrecadação total],Tabela1[Ano de Referência],'Valuation (FCF) Guara'!P$2)</f>
        <v>3494164.63</v>
      </c>
      <c r="Q104" s="5">
        <f>SUMIFS(Tabela1[FN006 - Arrecadação total],Tabela1[Ano de Referência],'Valuation (FCF) Guara'!Q$2)</f>
        <v>3579708.43</v>
      </c>
      <c r="R104" s="5">
        <f>SUMIFS(Tabela1[FN006 - Arrecadação total],Tabela1[Ano de Referência],'Valuation (FCF) Guara'!R$2)</f>
        <v>3443403.52</v>
      </c>
      <c r="S104" s="5">
        <f>SUMIFS(Tabela1[FN006 - Arrecadação total],Tabela1[Ano de Referência],'Valuation (FCF) Guara'!S$2)</f>
        <v>4594005.2699999996</v>
      </c>
      <c r="T104" s="5">
        <f>SUMIFS(Tabela1[FN006 - Arrecadação total],Tabela1[Ano de Referência],'Valuation (FCF) Guara'!T$2)</f>
        <v>4676034.71</v>
      </c>
      <c r="U104" s="5">
        <f>SUMIFS(Tabela1[FN006 - Arrecadação total],Tabela1[Ano de Referência],'Valuation (FCF) Guara'!U$2)</f>
        <v>5124086</v>
      </c>
      <c r="V104" s="5">
        <f>SUMIFS(Tabela1[FN006 - Arrecadação total],Tabela1[Ano de Referência],'Valuation (FCF) Guara'!V$2)</f>
        <v>5614154.5499999998</v>
      </c>
      <c r="W104" s="5">
        <f>SUMIFS(Tabela1[FN006 - Arrecadação total],Tabela1[Ano de Referência],'Valuation (FCF) Guara'!W$2)</f>
        <v>5844864.5300000003</v>
      </c>
      <c r="X104" s="5">
        <f>SUMIFS(Tabela1[FN006 - Arrecadação total],Tabela1[Ano de Referência],'Valuation (FCF) Guara'!X$2)</f>
        <v>5893953.4900000002</v>
      </c>
      <c r="Y104" s="5">
        <f>SUMIFS(Tabela1[FN006 - Arrecadação total],Tabela1[Ano de Referência],'Valuation (FCF) Guara'!Y$2)</f>
        <v>6751777.9299999997</v>
      </c>
      <c r="Z104" s="5">
        <f>SUMIFS(Tabela1[FN006 - Arrecadação total],Tabela1[Ano de Referência],'Valuation (FCF) Guara'!Z$2)</f>
        <v>6399922</v>
      </c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</row>
    <row r="105" spans="2:57" x14ac:dyDescent="0.2">
      <c r="K10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</row>
    <row r="106" spans="2:57" x14ac:dyDescent="0.2">
      <c r="B106" t="s">
        <v>289</v>
      </c>
      <c r="I106">
        <v>1</v>
      </c>
      <c r="J106">
        <v>5</v>
      </c>
      <c r="K106" s="10">
        <v>0.04</v>
      </c>
      <c r="L106" s="10">
        <v>0.04</v>
      </c>
      <c r="O106" s="3">
        <f t="shared" ref="O106:Y106" si="151">O103/(O102+O101)</f>
        <v>0</v>
      </c>
      <c r="P106" s="3">
        <f t="shared" si="151"/>
        <v>0</v>
      </c>
      <c r="Q106" s="3">
        <f t="shared" si="151"/>
        <v>0</v>
      </c>
      <c r="R106" s="3">
        <f t="shared" si="151"/>
        <v>0</v>
      </c>
      <c r="S106" s="3">
        <f t="shared" si="151"/>
        <v>0</v>
      </c>
      <c r="T106" s="3">
        <f t="shared" si="151"/>
        <v>0</v>
      </c>
      <c r="U106" s="3">
        <f t="shared" si="151"/>
        <v>0</v>
      </c>
      <c r="V106" s="3">
        <f t="shared" si="151"/>
        <v>0</v>
      </c>
      <c r="W106" s="3">
        <f t="shared" si="151"/>
        <v>0</v>
      </c>
      <c r="X106" s="3">
        <f t="shared" si="151"/>
        <v>2.8480682016991363E-2</v>
      </c>
      <c r="Y106" s="3">
        <f t="shared" si="151"/>
        <v>2.1836926512172193E-2</v>
      </c>
      <c r="Z106" s="3">
        <f>Z103/(Z102+Z101)</f>
        <v>4.2474500242020888E-2</v>
      </c>
      <c r="AA106" s="5"/>
      <c r="AB106" s="3">
        <f t="shared" ref="AB106:AQ107" si="152">IF(AND($I106&lt;AB$3,AB$3&lt;=$J106),AA106+($L106-$K106)/($J106-$I106+1),IF($I106&gt;=AB$3,$K106,$L106))</f>
        <v>0.04</v>
      </c>
      <c r="AC106" s="3">
        <f t="shared" si="152"/>
        <v>0.04</v>
      </c>
      <c r="AD106" s="3">
        <f t="shared" si="152"/>
        <v>0.04</v>
      </c>
      <c r="AE106" s="3">
        <f t="shared" si="152"/>
        <v>0.04</v>
      </c>
      <c r="AF106" s="3">
        <f t="shared" si="152"/>
        <v>0.04</v>
      </c>
      <c r="AG106" s="3">
        <f t="shared" si="152"/>
        <v>0.04</v>
      </c>
      <c r="AH106" s="3">
        <f t="shared" si="152"/>
        <v>0.04</v>
      </c>
      <c r="AI106" s="3">
        <f t="shared" si="152"/>
        <v>0.04</v>
      </c>
      <c r="AJ106" s="3">
        <f t="shared" si="152"/>
        <v>0.04</v>
      </c>
      <c r="AK106" s="3">
        <f t="shared" si="152"/>
        <v>0.04</v>
      </c>
      <c r="AL106" s="3">
        <f t="shared" si="152"/>
        <v>0.04</v>
      </c>
      <c r="AM106" s="3">
        <f t="shared" si="152"/>
        <v>0.04</v>
      </c>
      <c r="AN106" s="3">
        <f t="shared" si="152"/>
        <v>0.04</v>
      </c>
      <c r="AO106" s="3">
        <f t="shared" si="152"/>
        <v>0.04</v>
      </c>
      <c r="AP106" s="3">
        <f t="shared" si="152"/>
        <v>0.04</v>
      </c>
      <c r="AQ106" s="3">
        <f t="shared" si="152"/>
        <v>0.04</v>
      </c>
      <c r="AR106" s="3">
        <f t="shared" ref="AR106:BE107" si="153">IF(AND($I106&lt;AR$3,AR$3&lt;=$J106),AQ106+($L106-$K106)/($J106-$I106+1),IF($I106&gt;=AR$3,$K106,$L106))</f>
        <v>0.04</v>
      </c>
      <c r="AS106" s="3">
        <f t="shared" si="153"/>
        <v>0.04</v>
      </c>
      <c r="AT106" s="3">
        <f t="shared" si="153"/>
        <v>0.04</v>
      </c>
      <c r="AU106" s="3">
        <f t="shared" si="153"/>
        <v>0.04</v>
      </c>
      <c r="AV106" s="3">
        <f t="shared" si="153"/>
        <v>0.04</v>
      </c>
      <c r="AW106" s="3">
        <f t="shared" si="153"/>
        <v>0.04</v>
      </c>
      <c r="AX106" s="3">
        <f t="shared" si="153"/>
        <v>0.04</v>
      </c>
      <c r="AY106" s="3">
        <f t="shared" si="153"/>
        <v>0.04</v>
      </c>
      <c r="AZ106" s="3">
        <f t="shared" si="153"/>
        <v>0.04</v>
      </c>
      <c r="BA106" s="3">
        <f t="shared" si="153"/>
        <v>0.04</v>
      </c>
      <c r="BB106" s="3">
        <f t="shared" si="153"/>
        <v>0.04</v>
      </c>
      <c r="BC106" s="3">
        <f t="shared" si="153"/>
        <v>0.04</v>
      </c>
      <c r="BD106" s="3">
        <f t="shared" si="153"/>
        <v>0.04</v>
      </c>
      <c r="BE106" s="3">
        <f t="shared" si="153"/>
        <v>0.04</v>
      </c>
    </row>
    <row r="107" spans="2:57" x14ac:dyDescent="0.2">
      <c r="B107" t="s">
        <v>290</v>
      </c>
      <c r="I107">
        <v>1</v>
      </c>
      <c r="J107">
        <v>5</v>
      </c>
      <c r="K107" s="10">
        <v>0.05</v>
      </c>
      <c r="L107" s="10">
        <v>0.03</v>
      </c>
      <c r="O107" s="3">
        <f t="shared" ref="O107:Y107" si="154">1-(O101+O102)/O104</f>
        <v>-0.55027393838467953</v>
      </c>
      <c r="P107" s="3">
        <f t="shared" si="154"/>
        <v>-0.13655629042298445</v>
      </c>
      <c r="Q107" s="3">
        <f t="shared" si="154"/>
        <v>-1.8637646418593778E-2</v>
      </c>
      <c r="R107" s="3">
        <f t="shared" si="154"/>
        <v>-8.1909790229871104E-2</v>
      </c>
      <c r="S107" s="3">
        <f t="shared" si="154"/>
        <v>5.9566875507741868E-2</v>
      </c>
      <c r="T107" s="3">
        <f t="shared" si="154"/>
        <v>4.8591405772520524E-2</v>
      </c>
      <c r="U107" s="3">
        <f t="shared" si="154"/>
        <v>5.838637173536898E-2</v>
      </c>
      <c r="V107" s="3">
        <f t="shared" si="154"/>
        <v>-4.0899061106181911E-2</v>
      </c>
      <c r="W107" s="3">
        <f t="shared" si="154"/>
        <v>5.5711467447817853E-2</v>
      </c>
      <c r="X107" s="3">
        <f t="shared" si="154"/>
        <v>3.3672028518162089E-2</v>
      </c>
      <c r="Y107" s="3">
        <f t="shared" si="154"/>
        <v>0.107299814583801</v>
      </c>
      <c r="Z107" s="3">
        <f>1-(Z101+Z102)/Z104</f>
        <v>7.2647482266190222E-2</v>
      </c>
      <c r="AA107" s="5"/>
      <c r="AB107" s="3">
        <f t="shared" si="152"/>
        <v>0.05</v>
      </c>
      <c r="AC107" s="3">
        <f t="shared" si="152"/>
        <v>4.5999999999999999E-2</v>
      </c>
      <c r="AD107" s="3">
        <f t="shared" si="152"/>
        <v>4.1999999999999996E-2</v>
      </c>
      <c r="AE107" s="3">
        <f t="shared" si="152"/>
        <v>3.7999999999999992E-2</v>
      </c>
      <c r="AF107" s="3">
        <f t="shared" si="152"/>
        <v>3.3999999999999989E-2</v>
      </c>
      <c r="AG107" s="3">
        <f t="shared" si="152"/>
        <v>0.03</v>
      </c>
      <c r="AH107" s="3">
        <f t="shared" si="152"/>
        <v>0.03</v>
      </c>
      <c r="AI107" s="3">
        <f t="shared" si="152"/>
        <v>0.03</v>
      </c>
      <c r="AJ107" s="3">
        <f t="shared" si="152"/>
        <v>0.03</v>
      </c>
      <c r="AK107" s="3">
        <f t="shared" si="152"/>
        <v>0.03</v>
      </c>
      <c r="AL107" s="3">
        <f t="shared" si="152"/>
        <v>0.03</v>
      </c>
      <c r="AM107" s="3">
        <f t="shared" si="152"/>
        <v>0.03</v>
      </c>
      <c r="AN107" s="3">
        <f t="shared" si="152"/>
        <v>0.03</v>
      </c>
      <c r="AO107" s="3">
        <f t="shared" si="152"/>
        <v>0.03</v>
      </c>
      <c r="AP107" s="3">
        <f t="shared" si="152"/>
        <v>0.03</v>
      </c>
      <c r="AQ107" s="3">
        <f t="shared" si="152"/>
        <v>0.03</v>
      </c>
      <c r="AR107" s="3">
        <f t="shared" si="153"/>
        <v>0.03</v>
      </c>
      <c r="AS107" s="3">
        <f t="shared" si="153"/>
        <v>0.03</v>
      </c>
      <c r="AT107" s="3">
        <f t="shared" si="153"/>
        <v>0.03</v>
      </c>
      <c r="AU107" s="3">
        <f t="shared" si="153"/>
        <v>0.03</v>
      </c>
      <c r="AV107" s="3">
        <f t="shared" si="153"/>
        <v>0.03</v>
      </c>
      <c r="AW107" s="3">
        <f t="shared" si="153"/>
        <v>0.03</v>
      </c>
      <c r="AX107" s="3">
        <f t="shared" si="153"/>
        <v>0.03</v>
      </c>
      <c r="AY107" s="3">
        <f t="shared" si="153"/>
        <v>0.03</v>
      </c>
      <c r="AZ107" s="3">
        <f t="shared" si="153"/>
        <v>0.03</v>
      </c>
      <c r="BA107" s="3">
        <f t="shared" si="153"/>
        <v>0.03</v>
      </c>
      <c r="BB107" s="3">
        <f t="shared" si="153"/>
        <v>0.03</v>
      </c>
      <c r="BC107" s="3">
        <f t="shared" si="153"/>
        <v>0.03</v>
      </c>
      <c r="BD107" s="3">
        <f t="shared" si="153"/>
        <v>0.03</v>
      </c>
      <c r="BE107" s="3">
        <f t="shared" si="153"/>
        <v>0.03</v>
      </c>
    </row>
    <row r="108" spans="2:57" x14ac:dyDescent="0.2">
      <c r="K108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</row>
    <row r="109" spans="2:57" x14ac:dyDescent="0.2">
      <c r="B109" t="s">
        <v>278</v>
      </c>
      <c r="I109">
        <v>1</v>
      </c>
      <c r="J109">
        <v>10</v>
      </c>
      <c r="K109" s="15">
        <f>Z109*(1+9.66%+AA9)</f>
        <v>2.2512750000000001</v>
      </c>
      <c r="L109" s="15">
        <f>K109</f>
        <v>2.2512750000000001</v>
      </c>
      <c r="O109" s="8">
        <f>SUMIFS(Tabela1[IN005 - Tarifa média de água],Tabela1[Ano de Referência],'Valuation (FCF) Guara'!O$2)</f>
        <v>1.27</v>
      </c>
      <c r="P109" s="8">
        <f>SUMIFS(Tabela1[IN005 - Tarifa média de água],Tabela1[Ano de Referência],'Valuation (FCF) Guara'!P$2)</f>
        <v>1.84</v>
      </c>
      <c r="Q109" s="8">
        <f>SUMIFS(Tabela1[IN005 - Tarifa média de água],Tabela1[Ano de Referência],'Valuation (FCF) Guara'!Q$2)</f>
        <v>1.51</v>
      </c>
      <c r="R109" s="8">
        <f>SUMIFS(Tabela1[IN005 - Tarifa média de água],Tabela1[Ano de Referência],'Valuation (FCF) Guara'!R$2)</f>
        <v>1.54</v>
      </c>
      <c r="S109" s="8">
        <f>SUMIFS(Tabela1[IN005 - Tarifa média de água],Tabela1[Ano de Referência],'Valuation (FCF) Guara'!S$2)</f>
        <v>1.72</v>
      </c>
      <c r="T109" s="8">
        <f>SUMIFS(Tabela1[IN005 - Tarifa média de água],Tabela1[Ano de Referência],'Valuation (FCF) Guara'!T$2)</f>
        <v>1.81</v>
      </c>
      <c r="U109" s="8">
        <f>SUMIFS(Tabela1[IN005 - Tarifa média de água],Tabela1[Ano de Referência],'Valuation (FCF) Guara'!U$2)</f>
        <v>1.96</v>
      </c>
      <c r="V109" s="8">
        <f>SUMIFS(Tabela1[IN005 - Tarifa média de água],Tabela1[Ano de Referência],'Valuation (FCF) Guara'!V$2)</f>
        <v>2.89</v>
      </c>
      <c r="W109" s="8">
        <f>SUMIFS(Tabela1[IN005 - Tarifa média de água],Tabela1[Ano de Referência],'Valuation (FCF) Guara'!W$2)</f>
        <v>2.2000000000000002</v>
      </c>
      <c r="X109" s="8">
        <f>SUMIFS(Tabela1[IN005 - Tarifa média de água],Tabela1[Ano de Referência],'Valuation (FCF) Guara'!X$2)</f>
        <v>2.23</v>
      </c>
      <c r="Y109" s="8">
        <f>SUMIFS(Tabela1[IN005 - Tarifa média de água],Tabela1[Ano de Referência],'Valuation (FCF) Guara'!Y$2)</f>
        <v>2.0499999999999998</v>
      </c>
      <c r="Z109" s="8">
        <f>SUMIFS(Tabela1[IN005 - Tarifa média de água],Tabela1[Ano de Referência],'Valuation (FCF) Guara'!Z$2)</f>
        <v>1.95</v>
      </c>
      <c r="AA109" s="8"/>
      <c r="AB109" s="8">
        <f>IF(AND($I109&lt;AB$3,AB$3&lt;=$J109),AA109+($L109-$K109)/($J109-$I109+1),IF($I109&gt;=AB$3,$K109,$L109))</f>
        <v>2.2512750000000001</v>
      </c>
      <c r="AC109" s="8">
        <f t="shared" ref="AC109:AR110" si="155">IF(AND($I109&lt;AC$3,AC$3&lt;=$J109),AB109+($L109-$K109)/($J109-$I109+1),IF($I109&gt;=AC$3,$K109,$L109))</f>
        <v>2.2512750000000001</v>
      </c>
      <c r="AD109" s="8">
        <f t="shared" si="155"/>
        <v>2.2512750000000001</v>
      </c>
      <c r="AE109" s="8">
        <f t="shared" si="155"/>
        <v>2.2512750000000001</v>
      </c>
      <c r="AF109" s="8">
        <f t="shared" si="155"/>
        <v>2.2512750000000001</v>
      </c>
      <c r="AG109" s="8">
        <f t="shared" si="155"/>
        <v>2.2512750000000001</v>
      </c>
      <c r="AH109" s="8">
        <f t="shared" si="155"/>
        <v>2.2512750000000001</v>
      </c>
      <c r="AI109" s="8">
        <f t="shared" si="155"/>
        <v>2.2512750000000001</v>
      </c>
      <c r="AJ109" s="8">
        <f t="shared" si="155"/>
        <v>2.2512750000000001</v>
      </c>
      <c r="AK109" s="8">
        <f t="shared" si="155"/>
        <v>2.2512750000000001</v>
      </c>
      <c r="AL109" s="8">
        <f t="shared" si="155"/>
        <v>2.2512750000000001</v>
      </c>
      <c r="AM109" s="8">
        <f t="shared" si="155"/>
        <v>2.2512750000000001</v>
      </c>
      <c r="AN109" s="8">
        <f t="shared" si="155"/>
        <v>2.2512750000000001</v>
      </c>
      <c r="AO109" s="8">
        <f t="shared" si="155"/>
        <v>2.2512750000000001</v>
      </c>
      <c r="AP109" s="8">
        <f t="shared" si="155"/>
        <v>2.2512750000000001</v>
      </c>
      <c r="AQ109" s="8">
        <f t="shared" si="155"/>
        <v>2.2512750000000001</v>
      </c>
      <c r="AR109" s="8">
        <f t="shared" si="155"/>
        <v>2.2512750000000001</v>
      </c>
      <c r="AS109" s="8">
        <f t="shared" ref="AS109:BE110" si="156">IF(AND($I109&lt;AS$3,AS$3&lt;=$J109),AR109+($L109-$K109)/($J109-$I109+1),IF($I109&gt;=AS$3,$K109,$L109))</f>
        <v>2.2512750000000001</v>
      </c>
      <c r="AT109" s="8">
        <f t="shared" si="156"/>
        <v>2.2512750000000001</v>
      </c>
      <c r="AU109" s="8">
        <f t="shared" si="156"/>
        <v>2.2512750000000001</v>
      </c>
      <c r="AV109" s="8">
        <f t="shared" si="156"/>
        <v>2.2512750000000001</v>
      </c>
      <c r="AW109" s="8">
        <f t="shared" si="156"/>
        <v>2.2512750000000001</v>
      </c>
      <c r="AX109" s="8">
        <f t="shared" si="156"/>
        <v>2.2512750000000001</v>
      </c>
      <c r="AY109" s="8">
        <f t="shared" si="156"/>
        <v>2.2512750000000001</v>
      </c>
      <c r="AZ109" s="8">
        <f t="shared" si="156"/>
        <v>2.2512750000000001</v>
      </c>
      <c r="BA109" s="8">
        <f t="shared" si="156"/>
        <v>2.2512750000000001</v>
      </c>
      <c r="BB109" s="8">
        <f t="shared" si="156"/>
        <v>2.2512750000000001</v>
      </c>
      <c r="BC109" s="8">
        <f t="shared" si="156"/>
        <v>2.2512750000000001</v>
      </c>
      <c r="BD109" s="8">
        <f t="shared" si="156"/>
        <v>2.2512750000000001</v>
      </c>
      <c r="BE109" s="8">
        <f t="shared" si="156"/>
        <v>2.2512750000000001</v>
      </c>
    </row>
    <row r="110" spans="2:57" x14ac:dyDescent="0.2">
      <c r="B110" t="s">
        <v>279</v>
      </c>
      <c r="I110">
        <v>1</v>
      </c>
      <c r="J110">
        <v>10</v>
      </c>
      <c r="K110" s="15">
        <f>K109</f>
        <v>2.2512750000000001</v>
      </c>
      <c r="L110" s="15">
        <f>L109</f>
        <v>2.2512750000000001</v>
      </c>
      <c r="O110" s="8">
        <f>SUMIFS(Tabela1[IN006 - Tarifa média de esgoto],Tabela1[Ano de Referência],'Valuation (FCF) Guara'!O$2)</f>
        <v>1.95</v>
      </c>
      <c r="P110" s="8">
        <f>SUMIFS(Tabela1[IN006 - Tarifa média de esgoto],Tabela1[Ano de Referência],'Valuation (FCF) Guara'!P$2)</f>
        <v>2.06</v>
      </c>
      <c r="Q110" s="8">
        <f>SUMIFS(Tabela1[IN006 - Tarifa média de esgoto],Tabela1[Ano de Referência],'Valuation (FCF) Guara'!Q$2)</f>
        <v>1.5</v>
      </c>
      <c r="R110" s="8">
        <f>SUMIFS(Tabela1[IN006 - Tarifa média de esgoto],Tabela1[Ano de Referência],'Valuation (FCF) Guara'!R$2)</f>
        <v>1.5</v>
      </c>
      <c r="S110" s="8">
        <f>SUMIFS(Tabela1[IN006 - Tarifa média de esgoto],Tabela1[Ano de Referência],'Valuation (FCF) Guara'!S$2)</f>
        <v>1.28</v>
      </c>
      <c r="T110" s="8">
        <f>SUMIFS(Tabela1[IN006 - Tarifa média de esgoto],Tabela1[Ano de Referência],'Valuation (FCF) Guara'!T$2)</f>
        <v>1.42</v>
      </c>
      <c r="U110" s="8">
        <f>SUMIFS(Tabela1[IN006 - Tarifa média de esgoto],Tabela1[Ano de Referência],'Valuation (FCF) Guara'!U$2)</f>
        <v>1.54</v>
      </c>
      <c r="V110" s="8">
        <f>SUMIFS(Tabela1[IN006 - Tarifa média de esgoto],Tabela1[Ano de Referência],'Valuation (FCF) Guara'!V$2)</f>
        <v>1.95</v>
      </c>
      <c r="W110" s="8">
        <f>SUMIFS(Tabela1[IN006 - Tarifa média de esgoto],Tabela1[Ano de Referência],'Valuation (FCF) Guara'!W$2)</f>
        <v>2.17</v>
      </c>
      <c r="X110" s="8">
        <f>SUMIFS(Tabela1[IN006 - Tarifa média de esgoto],Tabela1[Ano de Referência],'Valuation (FCF) Guara'!X$2)</f>
        <v>2.16</v>
      </c>
      <c r="Y110" s="8">
        <f>SUMIFS(Tabela1[IN006 - Tarifa média de esgoto],Tabela1[Ano de Referência],'Valuation (FCF) Guara'!Y$2)</f>
        <v>1.98</v>
      </c>
      <c r="Z110" s="8">
        <f>SUMIFS(Tabela1[IN006 - Tarifa média de esgoto],Tabela1[Ano de Referência],'Valuation (FCF) Guara'!Z$2)</f>
        <v>1.9</v>
      </c>
      <c r="AA110" s="8"/>
      <c r="AB110" s="8">
        <f>IF(AND($I110&lt;AB$3,AB$3&lt;=$J110),AA110+($L110-$K110)/($J110-$I110+1),IF($I110&gt;=AB$3,$K110,$L110))</f>
        <v>2.2512750000000001</v>
      </c>
      <c r="AC110" s="8">
        <f t="shared" si="155"/>
        <v>2.2512750000000001</v>
      </c>
      <c r="AD110" s="8">
        <f t="shared" si="155"/>
        <v>2.2512750000000001</v>
      </c>
      <c r="AE110" s="8">
        <f t="shared" si="155"/>
        <v>2.2512750000000001</v>
      </c>
      <c r="AF110" s="8">
        <f t="shared" si="155"/>
        <v>2.2512750000000001</v>
      </c>
      <c r="AG110" s="8">
        <f t="shared" si="155"/>
        <v>2.2512750000000001</v>
      </c>
      <c r="AH110" s="8">
        <f t="shared" si="155"/>
        <v>2.2512750000000001</v>
      </c>
      <c r="AI110" s="8">
        <f t="shared" si="155"/>
        <v>2.2512750000000001</v>
      </c>
      <c r="AJ110" s="8">
        <f t="shared" si="155"/>
        <v>2.2512750000000001</v>
      </c>
      <c r="AK110" s="8">
        <f t="shared" si="155"/>
        <v>2.2512750000000001</v>
      </c>
      <c r="AL110" s="8">
        <f t="shared" si="155"/>
        <v>2.2512750000000001</v>
      </c>
      <c r="AM110" s="8">
        <f t="shared" si="155"/>
        <v>2.2512750000000001</v>
      </c>
      <c r="AN110" s="8">
        <f t="shared" si="155"/>
        <v>2.2512750000000001</v>
      </c>
      <c r="AO110" s="8">
        <f t="shared" si="155"/>
        <v>2.2512750000000001</v>
      </c>
      <c r="AP110" s="8">
        <f t="shared" si="155"/>
        <v>2.2512750000000001</v>
      </c>
      <c r="AQ110" s="8">
        <f t="shared" si="155"/>
        <v>2.2512750000000001</v>
      </c>
      <c r="AR110" s="8">
        <f t="shared" si="155"/>
        <v>2.2512750000000001</v>
      </c>
      <c r="AS110" s="8">
        <f t="shared" si="156"/>
        <v>2.2512750000000001</v>
      </c>
      <c r="AT110" s="8">
        <f t="shared" si="156"/>
        <v>2.2512750000000001</v>
      </c>
      <c r="AU110" s="8">
        <f t="shared" si="156"/>
        <v>2.2512750000000001</v>
      </c>
      <c r="AV110" s="8">
        <f t="shared" si="156"/>
        <v>2.2512750000000001</v>
      </c>
      <c r="AW110" s="8">
        <f t="shared" si="156"/>
        <v>2.2512750000000001</v>
      </c>
      <c r="AX110" s="8">
        <f t="shared" si="156"/>
        <v>2.2512750000000001</v>
      </c>
      <c r="AY110" s="8">
        <f t="shared" si="156"/>
        <v>2.2512750000000001</v>
      </c>
      <c r="AZ110" s="8">
        <f t="shared" si="156"/>
        <v>2.2512750000000001</v>
      </c>
      <c r="BA110" s="8">
        <f t="shared" si="156"/>
        <v>2.2512750000000001</v>
      </c>
      <c r="BB110" s="8">
        <f t="shared" si="156"/>
        <v>2.2512750000000001</v>
      </c>
      <c r="BC110" s="8">
        <f t="shared" si="156"/>
        <v>2.2512750000000001</v>
      </c>
      <c r="BD110" s="8">
        <f t="shared" si="156"/>
        <v>2.2512750000000001</v>
      </c>
      <c r="BE110" s="8">
        <f t="shared" si="156"/>
        <v>2.2512750000000001</v>
      </c>
    </row>
    <row r="111" spans="2:57" x14ac:dyDescent="0.2">
      <c r="K111"/>
    </row>
    <row r="112" spans="2:57" x14ac:dyDescent="0.2">
      <c r="B112" t="s">
        <v>282</v>
      </c>
      <c r="I112">
        <v>1</v>
      </c>
      <c r="J112">
        <v>30</v>
      </c>
      <c r="K112" s="15">
        <f>K57*365*K41/1000*K99</f>
        <v>266.26259959071473</v>
      </c>
      <c r="L112" s="15">
        <f>L57*365*L41/1000*L99</f>
        <v>253.58342818163302</v>
      </c>
      <c r="O112" s="7">
        <f t="shared" ref="O112:Z112" si="157">O96*1000/O38</f>
        <v>231.96264497665311</v>
      </c>
      <c r="P112" s="7">
        <f t="shared" si="157"/>
        <v>194.396993508712</v>
      </c>
      <c r="Q112" s="7">
        <f t="shared" si="157"/>
        <v>224.70784641068448</v>
      </c>
      <c r="R112" s="7">
        <f t="shared" si="157"/>
        <v>222.36777468478795</v>
      </c>
      <c r="S112" s="7">
        <f t="shared" si="157"/>
        <v>230.93974748281923</v>
      </c>
      <c r="T112" s="7">
        <f t="shared" si="157"/>
        <v>220.13609748377908</v>
      </c>
      <c r="U112" s="7">
        <f t="shared" si="157"/>
        <v>221.97696737044146</v>
      </c>
      <c r="V112" s="7">
        <f t="shared" si="157"/>
        <v>152.86329966329967</v>
      </c>
      <c r="W112" s="7">
        <f t="shared" si="157"/>
        <v>219.38976685964639</v>
      </c>
      <c r="X112" s="7">
        <f t="shared" si="157"/>
        <v>223.13935443823712</v>
      </c>
      <c r="Y112" s="7">
        <f t="shared" si="157"/>
        <v>256.15562760537284</v>
      </c>
      <c r="Z112" s="7">
        <f t="shared" si="157"/>
        <v>260.8567501527184</v>
      </c>
      <c r="AA112" s="7"/>
      <c r="AB112" s="8">
        <f t="shared" ref="AB112:BE112" si="158">IF(AND($I112&lt;AB$3,AB$3&lt;=$J112),AA112+($L112-$K112)/($J112-$I112+1),IF($I112&gt;=AB$3,$K112,$L112))</f>
        <v>266.26259959071473</v>
      </c>
      <c r="AC112" s="8">
        <f t="shared" si="158"/>
        <v>265.83996054374535</v>
      </c>
      <c r="AD112" s="8">
        <f t="shared" si="158"/>
        <v>265.41732149677597</v>
      </c>
      <c r="AE112" s="8">
        <f t="shared" si="158"/>
        <v>264.99468244980659</v>
      </c>
      <c r="AF112" s="8">
        <f t="shared" si="158"/>
        <v>264.57204340283721</v>
      </c>
      <c r="AG112" s="8">
        <f t="shared" si="158"/>
        <v>264.14940435586783</v>
      </c>
      <c r="AH112" s="8">
        <f t="shared" si="158"/>
        <v>263.72676530889845</v>
      </c>
      <c r="AI112" s="8">
        <f t="shared" si="158"/>
        <v>263.30412626192907</v>
      </c>
      <c r="AJ112" s="8">
        <f t="shared" si="158"/>
        <v>262.88148721495969</v>
      </c>
      <c r="AK112" s="8">
        <f t="shared" si="158"/>
        <v>262.45884816799031</v>
      </c>
      <c r="AL112" s="8">
        <f t="shared" si="158"/>
        <v>262.03620912102093</v>
      </c>
      <c r="AM112" s="8">
        <f t="shared" si="158"/>
        <v>261.61357007405155</v>
      </c>
      <c r="AN112" s="8">
        <f t="shared" si="158"/>
        <v>261.19093102708217</v>
      </c>
      <c r="AO112" s="8">
        <f t="shared" si="158"/>
        <v>260.76829198011279</v>
      </c>
      <c r="AP112" s="8">
        <f t="shared" si="158"/>
        <v>260.34565293314341</v>
      </c>
      <c r="AQ112" s="8">
        <f t="shared" si="158"/>
        <v>259.92301388617403</v>
      </c>
      <c r="AR112" s="8">
        <f t="shared" si="158"/>
        <v>259.50037483920465</v>
      </c>
      <c r="AS112" s="8">
        <f t="shared" si="158"/>
        <v>259.07773579223527</v>
      </c>
      <c r="AT112" s="8">
        <f t="shared" si="158"/>
        <v>258.65509674526589</v>
      </c>
      <c r="AU112" s="8">
        <f t="shared" si="158"/>
        <v>258.23245769829651</v>
      </c>
      <c r="AV112" s="8">
        <f t="shared" si="158"/>
        <v>257.80981865132713</v>
      </c>
      <c r="AW112" s="8">
        <f t="shared" si="158"/>
        <v>257.38717960435775</v>
      </c>
      <c r="AX112" s="8">
        <f t="shared" si="158"/>
        <v>256.96454055738837</v>
      </c>
      <c r="AY112" s="8">
        <f t="shared" si="158"/>
        <v>256.541901510419</v>
      </c>
      <c r="AZ112" s="8">
        <f t="shared" si="158"/>
        <v>256.11926246344962</v>
      </c>
      <c r="BA112" s="8">
        <f t="shared" si="158"/>
        <v>255.69662341648024</v>
      </c>
      <c r="BB112" s="8">
        <f t="shared" si="158"/>
        <v>255.27398436951086</v>
      </c>
      <c r="BC112" s="8">
        <f t="shared" si="158"/>
        <v>254.85134532254148</v>
      </c>
      <c r="BD112" s="8">
        <f t="shared" si="158"/>
        <v>254.4287062755721</v>
      </c>
      <c r="BE112" s="8">
        <f t="shared" si="158"/>
        <v>254.00606722860272</v>
      </c>
    </row>
    <row r="113" spans="2:57" x14ac:dyDescent="0.2">
      <c r="K113"/>
    </row>
    <row r="114" spans="2:57" x14ac:dyDescent="0.2">
      <c r="B114" s="4" t="s">
        <v>288</v>
      </c>
      <c r="K114"/>
    </row>
    <row r="115" spans="2:57" x14ac:dyDescent="0.2">
      <c r="B115" t="s">
        <v>274</v>
      </c>
      <c r="L115" s="12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>
        <f>AB96*AB109*1000</f>
        <v>3925235.3850546144</v>
      </c>
      <c r="AC115" s="5">
        <f t="shared" ref="AC115:BE115" si="159">AC96*AC109*1000</f>
        <v>3997750.2704983624</v>
      </c>
      <c r="AD115" s="5">
        <f t="shared" si="159"/>
        <v>4054261.5717754052</v>
      </c>
      <c r="AE115" s="5">
        <f t="shared" si="159"/>
        <v>4110590.8819227032</v>
      </c>
      <c r="AF115" s="5">
        <f t="shared" si="159"/>
        <v>4166717.3088493007</v>
      </c>
      <c r="AG115" s="5">
        <f t="shared" si="159"/>
        <v>4222619.9061495177</v>
      </c>
      <c r="AH115" s="5">
        <f t="shared" si="159"/>
        <v>4236254.0458877897</v>
      </c>
      <c r="AI115" s="5">
        <f t="shared" si="159"/>
        <v>4249362.2845818102</v>
      </c>
      <c r="AJ115" s="5">
        <f t="shared" si="159"/>
        <v>4261939.397156788</v>
      </c>
      <c r="AK115" s="5">
        <f t="shared" si="159"/>
        <v>4273980.3560318034</v>
      </c>
      <c r="AL115" s="5">
        <f t="shared" si="159"/>
        <v>4285480.3344630254</v>
      </c>
      <c r="AM115" s="5">
        <f t="shared" si="159"/>
        <v>4296434.7097626189</v>
      </c>
      <c r="AN115" s="5">
        <f t="shared" ref="AN115" si="160">AN96*AN109*1000</f>
        <v>4306839.0663903542</v>
      </c>
      <c r="AO115" s="5">
        <f t="shared" si="159"/>
        <v>4316689.1989150112</v>
      </c>
      <c r="AP115" s="5">
        <f t="shared" si="159"/>
        <v>4325981.1148428414</v>
      </c>
      <c r="AQ115" s="5">
        <f t="shared" si="159"/>
        <v>4334711.0373103768</v>
      </c>
      <c r="AR115" s="5">
        <f t="shared" si="159"/>
        <v>4342875.4076390835</v>
      </c>
      <c r="AS115" s="5">
        <f t="shared" si="159"/>
        <v>4350470.8877494335</v>
      </c>
      <c r="AT115" s="5">
        <f t="shared" si="159"/>
        <v>4357494.3624321148</v>
      </c>
      <c r="AU115" s="5">
        <f t="shared" si="159"/>
        <v>4363942.9414741984</v>
      </c>
      <c r="AV115" s="5">
        <f t="shared" si="159"/>
        <v>4369813.9616382476</v>
      </c>
      <c r="AW115" s="5">
        <f t="shared" si="159"/>
        <v>4375104.9884924935</v>
      </c>
      <c r="AX115" s="5">
        <f t="shared" si="159"/>
        <v>4379813.8180902693</v>
      </c>
      <c r="AY115" s="5">
        <f t="shared" si="159"/>
        <v>4383938.4784971457</v>
      </c>
      <c r="AZ115" s="5">
        <f t="shared" si="159"/>
        <v>4387477.2311642254</v>
      </c>
      <c r="BA115" s="5">
        <f t="shared" si="159"/>
        <v>4390428.57214633</v>
      </c>
      <c r="BB115" s="5">
        <f t="shared" si="159"/>
        <v>4392791.2331638159</v>
      </c>
      <c r="BC115" s="5">
        <f t="shared" si="159"/>
        <v>4394564.1825070316</v>
      </c>
      <c r="BD115" s="5">
        <f t="shared" si="159"/>
        <v>4395746.6257824702</v>
      </c>
      <c r="BE115" s="5">
        <f t="shared" si="159"/>
        <v>4396338.0064999117</v>
      </c>
    </row>
    <row r="116" spans="2:57" x14ac:dyDescent="0.2">
      <c r="B116" t="s">
        <v>275</v>
      </c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>
        <f>AB97*AB109*1000</f>
        <v>3336450.0772964214</v>
      </c>
      <c r="AC116" s="5">
        <f t="shared" ref="AC116:BE116" si="161">AC97*AC109*1000</f>
        <v>3398087.7299236078</v>
      </c>
      <c r="AD116" s="5">
        <f t="shared" si="161"/>
        <v>3446122.3360090945</v>
      </c>
      <c r="AE116" s="5">
        <f t="shared" si="161"/>
        <v>3494002.2496342976</v>
      </c>
      <c r="AF116" s="5">
        <f t="shared" si="161"/>
        <v>3541709.7125219051</v>
      </c>
      <c r="AG116" s="5">
        <f t="shared" si="161"/>
        <v>3608420.6470732247</v>
      </c>
      <c r="AH116" s="5">
        <f t="shared" si="161"/>
        <v>3639327.3394217822</v>
      </c>
      <c r="AI116" s="5">
        <f t="shared" si="161"/>
        <v>3669903.7912297449</v>
      </c>
      <c r="AJ116" s="5">
        <f t="shared" si="161"/>
        <v>3700138.2948043011</v>
      </c>
      <c r="AK116" s="5">
        <f t="shared" si="161"/>
        <v>3730019.2198095736</v>
      </c>
      <c r="AL116" s="5">
        <f t="shared" si="161"/>
        <v>3759535.0206880164</v>
      </c>
      <c r="AM116" s="5">
        <f t="shared" si="161"/>
        <v>3788674.2440634002</v>
      </c>
      <c r="AN116" s="5">
        <f t="shared" ref="AN116" si="162">AN97*AN109*1000</f>
        <v>3817425.5361187221</v>
      </c>
      <c r="AO116" s="5">
        <f t="shared" si="161"/>
        <v>3845777.6499424633</v>
      </c>
      <c r="AP116" s="5">
        <f t="shared" si="161"/>
        <v>3873719.4528365433</v>
      </c>
      <c r="AQ116" s="5">
        <f t="shared" si="161"/>
        <v>3901239.9335793396</v>
      </c>
      <c r="AR116" s="5">
        <f t="shared" si="161"/>
        <v>3908587.8668751754</v>
      </c>
      <c r="AS116" s="5">
        <f t="shared" si="161"/>
        <v>3915423.7989744907</v>
      </c>
      <c r="AT116" s="5">
        <f t="shared" si="161"/>
        <v>3921744.9261889039</v>
      </c>
      <c r="AU116" s="5">
        <f t="shared" si="161"/>
        <v>3927548.6473267782</v>
      </c>
      <c r="AV116" s="5">
        <f t="shared" si="161"/>
        <v>3932832.565474424</v>
      </c>
      <c r="AW116" s="5">
        <f t="shared" si="161"/>
        <v>3937594.4896432436</v>
      </c>
      <c r="AX116" s="5">
        <f t="shared" si="161"/>
        <v>3941832.4362812433</v>
      </c>
      <c r="AY116" s="5">
        <f t="shared" si="161"/>
        <v>3945544.6306474311</v>
      </c>
      <c r="AZ116" s="5">
        <f t="shared" si="161"/>
        <v>3948729.5080478033</v>
      </c>
      <c r="BA116" s="5">
        <f t="shared" si="161"/>
        <v>3951385.7149316976</v>
      </c>
      <c r="BB116" s="5">
        <f t="shared" si="161"/>
        <v>3953512.1098474357</v>
      </c>
      <c r="BC116" s="5">
        <f t="shared" si="161"/>
        <v>3955107.7642563288</v>
      </c>
      <c r="BD116" s="5">
        <f t="shared" si="161"/>
        <v>3956171.9632042237</v>
      </c>
      <c r="BE116" s="5">
        <f t="shared" si="161"/>
        <v>3956704.2058499209</v>
      </c>
    </row>
    <row r="117" spans="2:57" x14ac:dyDescent="0.2">
      <c r="B117" t="s">
        <v>276</v>
      </c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>
        <f t="shared" ref="AB117:BE117" si="163">(AB115+AB116)*AB$106</f>
        <v>290467.41849404143</v>
      </c>
      <c r="AC117" s="5">
        <f t="shared" si="163"/>
        <v>295833.52001687879</v>
      </c>
      <c r="AD117" s="5">
        <f t="shared" si="163"/>
        <v>300015.35631137999</v>
      </c>
      <c r="AE117" s="5">
        <f t="shared" si="163"/>
        <v>304183.72526228003</v>
      </c>
      <c r="AF117" s="5">
        <f t="shared" si="163"/>
        <v>308337.08085484826</v>
      </c>
      <c r="AG117" s="5">
        <f t="shared" si="163"/>
        <v>313241.62212890969</v>
      </c>
      <c r="AH117" s="5">
        <f t="shared" si="163"/>
        <v>315023.25541238289</v>
      </c>
      <c r="AI117" s="5">
        <f t="shared" si="163"/>
        <v>316770.64303246222</v>
      </c>
      <c r="AJ117" s="5">
        <f t="shared" si="163"/>
        <v>318483.1076784436</v>
      </c>
      <c r="AK117" s="5">
        <f t="shared" si="163"/>
        <v>320159.98303365509</v>
      </c>
      <c r="AL117" s="5">
        <f t="shared" si="163"/>
        <v>321800.61420604168</v>
      </c>
      <c r="AM117" s="5">
        <f t="shared" si="163"/>
        <v>323404.35815304081</v>
      </c>
      <c r="AN117" s="5">
        <f t="shared" ref="AN117" si="164">(AN115+AN116)*AN$106</f>
        <v>324970.58410036302</v>
      </c>
      <c r="AO117" s="5">
        <f t="shared" si="163"/>
        <v>326498.67395429901</v>
      </c>
      <c r="AP117" s="5">
        <f t="shared" si="163"/>
        <v>327988.02270717541</v>
      </c>
      <c r="AQ117" s="5">
        <f t="shared" si="163"/>
        <v>329438.03883558867</v>
      </c>
      <c r="AR117" s="5">
        <f t="shared" si="163"/>
        <v>330058.53098057036</v>
      </c>
      <c r="AS117" s="5">
        <f t="shared" si="163"/>
        <v>330635.78746895696</v>
      </c>
      <c r="AT117" s="5">
        <f t="shared" si="163"/>
        <v>331169.57154484076</v>
      </c>
      <c r="AU117" s="5">
        <f t="shared" si="163"/>
        <v>331659.66355203907</v>
      </c>
      <c r="AV117" s="5">
        <f t="shared" si="163"/>
        <v>332105.86108450691</v>
      </c>
      <c r="AW117" s="5">
        <f t="shared" si="163"/>
        <v>332507.97912542947</v>
      </c>
      <c r="AX117" s="5">
        <f t="shared" si="163"/>
        <v>332865.8501748605</v>
      </c>
      <c r="AY117" s="5">
        <f t="shared" si="163"/>
        <v>333179.32436578308</v>
      </c>
      <c r="AZ117" s="5">
        <f t="shared" si="163"/>
        <v>333448.26956848113</v>
      </c>
      <c r="BA117" s="5">
        <f t="shared" si="163"/>
        <v>333672.57148312114</v>
      </c>
      <c r="BB117" s="5">
        <f t="shared" si="163"/>
        <v>333852.13372045005</v>
      </c>
      <c r="BC117" s="5">
        <f t="shared" si="163"/>
        <v>333986.87787053443</v>
      </c>
      <c r="BD117" s="5">
        <f t="shared" si="163"/>
        <v>334076.74355946778</v>
      </c>
      <c r="BE117" s="5">
        <f t="shared" si="163"/>
        <v>334121.68849399331</v>
      </c>
    </row>
    <row r="119" spans="2:57" s="9" customFormat="1" x14ac:dyDescent="0.2">
      <c r="B119" s="9" t="s">
        <v>291</v>
      </c>
      <c r="K119" s="25"/>
    </row>
    <row r="121" spans="2:57" x14ac:dyDescent="0.2">
      <c r="B121" s="4" t="s">
        <v>387</v>
      </c>
    </row>
    <row r="122" spans="2:57" x14ac:dyDescent="0.2">
      <c r="B122" s="4"/>
    </row>
    <row r="123" spans="2:57" x14ac:dyDescent="0.2">
      <c r="B123" t="s">
        <v>388</v>
      </c>
      <c r="AB123" s="1">
        <f>AB27</f>
        <v>21394</v>
      </c>
      <c r="AC123" s="1">
        <f t="shared" ref="AC123:BE123" si="165">AC27</f>
        <v>21564.152846609417</v>
      </c>
      <c r="AD123" s="1">
        <f t="shared" si="165"/>
        <v>21645.384434205054</v>
      </c>
      <c r="AE123" s="1">
        <f t="shared" si="165"/>
        <v>21724.009962420161</v>
      </c>
      <c r="AF123" s="1">
        <f t="shared" si="165"/>
        <v>21799.998458565544</v>
      </c>
      <c r="AG123" s="1">
        <f t="shared" si="165"/>
        <v>21873.319897596131</v>
      </c>
      <c r="AH123" s="1">
        <f t="shared" si="165"/>
        <v>21943.945221838418</v>
      </c>
      <c r="AI123" s="1">
        <f t="shared" si="165"/>
        <v>22011.846360141397</v>
      </c>
      <c r="AJ123" s="1">
        <f t="shared" si="165"/>
        <v>22076.996246433537</v>
      </c>
      <c r="AK123" s="1">
        <f t="shared" si="165"/>
        <v>22139.368837668531</v>
      </c>
      <c r="AL123" s="1">
        <f t="shared" si="165"/>
        <v>22198.939131143263</v>
      </c>
      <c r="AM123" s="1">
        <f t="shared" si="165"/>
        <v>22255.683181171873</v>
      </c>
      <c r="AN123" s="1">
        <f t="shared" ref="AN123" si="166">AN27</f>
        <v>22309.578115100372</v>
      </c>
      <c r="AO123" s="1">
        <f t="shared" si="165"/>
        <v>22360.602148646885</v>
      </c>
      <c r="AP123" s="1">
        <f t="shared" si="165"/>
        <v>22408.734600553114</v>
      </c>
      <c r="AQ123" s="1">
        <f t="shared" si="165"/>
        <v>22453.955906533203</v>
      </c>
      <c r="AR123" s="1">
        <f t="shared" si="165"/>
        <v>22496.247632506962</v>
      </c>
      <c r="AS123" s="1">
        <f t="shared" si="165"/>
        <v>22535.592487104837</v>
      </c>
      <c r="AT123" s="1">
        <f t="shared" si="165"/>
        <v>22571.974333432805</v>
      </c>
      <c r="AU123" s="1">
        <f t="shared" si="165"/>
        <v>22605.378200086063</v>
      </c>
      <c r="AV123" s="1">
        <f t="shared" si="165"/>
        <v>22635.790291400863</v>
      </c>
      <c r="AW123" s="1">
        <f t="shared" si="165"/>
        <v>22663.197996934847</v>
      </c>
      <c r="AX123" s="1">
        <f t="shared" si="165"/>
        <v>22687.58990016664</v>
      </c>
      <c r="AY123" s="1">
        <f t="shared" si="165"/>
        <v>22708.955786406397</v>
      </c>
      <c r="AZ123" s="1">
        <f t="shared" si="165"/>
        <v>22727.286649909594</v>
      </c>
      <c r="BA123" s="1">
        <f t="shared" si="165"/>
        <v>22742.574700187208</v>
      </c>
      <c r="BB123" s="1">
        <f t="shared" si="165"/>
        <v>22754.813367505998</v>
      </c>
      <c r="BC123" s="1">
        <f t="shared" si="165"/>
        <v>22763.997307573605</v>
      </c>
      <c r="BD123" s="1">
        <f t="shared" si="165"/>
        <v>22770.12240540369</v>
      </c>
      <c r="BE123" s="1">
        <f t="shared" si="165"/>
        <v>22773.1857783573</v>
      </c>
    </row>
    <row r="124" spans="2:57" x14ac:dyDescent="0.2">
      <c r="B124" t="s">
        <v>389</v>
      </c>
      <c r="AB124" s="1">
        <f>AB33</f>
        <v>20332.857599999999</v>
      </c>
      <c r="AC124" s="1">
        <f t="shared" ref="AC124:BE124" si="167">AC33</f>
        <v>20708.487261655955</v>
      </c>
      <c r="AD124" s="1">
        <f t="shared" si="167"/>
        <v>21001.217793443113</v>
      </c>
      <c r="AE124" s="1">
        <f t="shared" si="167"/>
        <v>21293.005604765749</v>
      </c>
      <c r="AF124" s="1">
        <f t="shared" si="167"/>
        <v>21583.742473856579</v>
      </c>
      <c r="AG124" s="1">
        <f t="shared" si="167"/>
        <v>21873.319897596131</v>
      </c>
      <c r="AH124" s="1">
        <f t="shared" si="167"/>
        <v>21943.945221838418</v>
      </c>
      <c r="AI124" s="1">
        <f t="shared" si="167"/>
        <v>22011.846360141397</v>
      </c>
      <c r="AJ124" s="1">
        <f t="shared" si="167"/>
        <v>22076.996246433537</v>
      </c>
      <c r="AK124" s="1">
        <f t="shared" si="167"/>
        <v>22139.368837668531</v>
      </c>
      <c r="AL124" s="1">
        <f t="shared" si="167"/>
        <v>22198.939131143263</v>
      </c>
      <c r="AM124" s="1">
        <f t="shared" si="167"/>
        <v>22255.683181171873</v>
      </c>
      <c r="AN124" s="1">
        <f t="shared" ref="AN124" si="168">AN33</f>
        <v>22309.578115100372</v>
      </c>
      <c r="AO124" s="1">
        <f t="shared" si="167"/>
        <v>22360.602148646885</v>
      </c>
      <c r="AP124" s="1">
        <f t="shared" si="167"/>
        <v>22408.734600553114</v>
      </c>
      <c r="AQ124" s="1">
        <f t="shared" si="167"/>
        <v>22453.955906533203</v>
      </c>
      <c r="AR124" s="1">
        <f t="shared" si="167"/>
        <v>22496.247632506962</v>
      </c>
      <c r="AS124" s="1">
        <f t="shared" si="167"/>
        <v>22535.592487104837</v>
      </c>
      <c r="AT124" s="1">
        <f t="shared" si="167"/>
        <v>22571.974333432805</v>
      </c>
      <c r="AU124" s="1">
        <f t="shared" si="167"/>
        <v>22605.378200086063</v>
      </c>
      <c r="AV124" s="1">
        <f t="shared" si="167"/>
        <v>22635.790291400863</v>
      </c>
      <c r="AW124" s="1">
        <f t="shared" si="167"/>
        <v>22663.197996934847</v>
      </c>
      <c r="AX124" s="1">
        <f t="shared" si="167"/>
        <v>22687.58990016664</v>
      </c>
      <c r="AY124" s="1">
        <f t="shared" si="167"/>
        <v>22708.955786406397</v>
      </c>
      <c r="AZ124" s="1">
        <f t="shared" si="167"/>
        <v>22727.286649909594</v>
      </c>
      <c r="BA124" s="1">
        <f t="shared" si="167"/>
        <v>22742.574700187208</v>
      </c>
      <c r="BB124" s="1">
        <f t="shared" si="167"/>
        <v>22754.813367505998</v>
      </c>
      <c r="BC124" s="1">
        <f t="shared" si="167"/>
        <v>22763.997307573605</v>
      </c>
      <c r="BD124" s="1">
        <f t="shared" si="167"/>
        <v>22770.12240540369</v>
      </c>
      <c r="BE124" s="1">
        <f t="shared" si="167"/>
        <v>22773.1857783573</v>
      </c>
    </row>
    <row r="125" spans="2:57" x14ac:dyDescent="0.2">
      <c r="B125" t="s">
        <v>390</v>
      </c>
      <c r="AB125" s="1">
        <f>AB37</f>
        <v>6548.2761934290775</v>
      </c>
      <c r="AC125" s="1">
        <f t="shared" ref="AC125:BE125" si="169">AC37</f>
        <v>6679.8521327578737</v>
      </c>
      <c r="AD125" s="1">
        <f t="shared" si="169"/>
        <v>6785.0640897896883</v>
      </c>
      <c r="AE125" s="1">
        <f t="shared" si="169"/>
        <v>6890.3065916789164</v>
      </c>
      <c r="AF125" s="1">
        <f t="shared" si="169"/>
        <v>6995.5447088594601</v>
      </c>
      <c r="AG125" s="1">
        <f t="shared" si="169"/>
        <v>7100.7431968805413</v>
      </c>
      <c r="AH125" s="1">
        <f t="shared" si="169"/>
        <v>7135.0864579815398</v>
      </c>
      <c r="AI125" s="1">
        <f t="shared" si="169"/>
        <v>7168.6527779083672</v>
      </c>
      <c r="AJ125" s="1">
        <f t="shared" si="169"/>
        <v>7201.4295805099582</v>
      </c>
      <c r="AK125" s="1">
        <f t="shared" si="169"/>
        <v>7233.4045428736245</v>
      </c>
      <c r="AL125" s="1">
        <f t="shared" si="169"/>
        <v>7264.5656030345826</v>
      </c>
      <c r="AM125" s="1">
        <f t="shared" si="169"/>
        <v>7294.9009675491434</v>
      </c>
      <c r="AN125" s="1">
        <f t="shared" ref="AN125" si="170">AN37</f>
        <v>7324.3991189249309</v>
      </c>
      <c r="AO125" s="1">
        <f t="shared" si="169"/>
        <v>7353.0488229015928</v>
      </c>
      <c r="AP125" s="1">
        <f t="shared" si="169"/>
        <v>7380.839135575563</v>
      </c>
      <c r="AQ125" s="1">
        <f t="shared" si="169"/>
        <v>7407.7594103625406</v>
      </c>
      <c r="AR125" s="1">
        <f t="shared" si="169"/>
        <v>7433.7993047915243</v>
      </c>
      <c r="AS125" s="1">
        <f t="shared" si="169"/>
        <v>7458.9487871243082</v>
      </c>
      <c r="AT125" s="1">
        <f t="shared" si="169"/>
        <v>7483.1981427945129</v>
      </c>
      <c r="AU125" s="1">
        <f t="shared" si="169"/>
        <v>7506.537980660406</v>
      </c>
      <c r="AV125" s="1">
        <f t="shared" si="169"/>
        <v>7528.9592390658145</v>
      </c>
      <c r="AW125" s="1">
        <f t="shared" si="169"/>
        <v>7550.4531917037248</v>
      </c>
      <c r="AX125" s="1">
        <f t="shared" si="169"/>
        <v>7571.0114532772013</v>
      </c>
      <c r="AY125" s="1">
        <f t="shared" si="169"/>
        <v>7590.6259849525222</v>
      </c>
      <c r="AZ125" s="1">
        <f t="shared" si="169"/>
        <v>7609.2890995995449</v>
      </c>
      <c r="BA125" s="1">
        <f t="shared" si="169"/>
        <v>7626.9934668145434</v>
      </c>
      <c r="BB125" s="1">
        <f t="shared" si="169"/>
        <v>7643.732117720876</v>
      </c>
      <c r="BC125" s="1">
        <f t="shared" si="169"/>
        <v>7659.4984495431409</v>
      </c>
      <c r="BD125" s="1">
        <f t="shared" si="169"/>
        <v>7674.2862299505614</v>
      </c>
      <c r="BE125" s="1">
        <f t="shared" si="169"/>
        <v>7688.0896011656378</v>
      </c>
    </row>
    <row r="126" spans="2:57" x14ac:dyDescent="0.2">
      <c r="B126" t="s">
        <v>391</v>
      </c>
      <c r="AB126" s="1">
        <f>AB49</f>
        <v>6506.2744218768439</v>
      </c>
      <c r="AC126" s="1">
        <f t="shared" ref="AC126:BE126" si="171">AC49</f>
        <v>6567.8939645043265</v>
      </c>
      <c r="AD126" s="1">
        <f t="shared" si="171"/>
        <v>6602.5770060298528</v>
      </c>
      <c r="AE126" s="1">
        <f t="shared" si="171"/>
        <v>6636.5703630804173</v>
      </c>
      <c r="AF126" s="1">
        <f t="shared" si="171"/>
        <v>6669.8614555655595</v>
      </c>
      <c r="AG126" s="1">
        <f t="shared" si="171"/>
        <v>6702.4379164568663</v>
      </c>
      <c r="AH126" s="1">
        <f t="shared" si="171"/>
        <v>6734.8547450895694</v>
      </c>
      <c r="AI126" s="1">
        <f t="shared" si="171"/>
        <v>6766.5382138696159</v>
      </c>
      <c r="AJ126" s="1">
        <f t="shared" si="171"/>
        <v>6797.4764520858116</v>
      </c>
      <c r="AK126" s="1">
        <f t="shared" si="171"/>
        <v>6827.6578280603262</v>
      </c>
      <c r="AL126" s="1">
        <f t="shared" si="171"/>
        <v>6857.070956425755</v>
      </c>
      <c r="AM126" s="1">
        <f t="shared" si="171"/>
        <v>6885.704705273517</v>
      </c>
      <c r="AN126" s="1">
        <f t="shared" ref="AN126" si="172">AN49</f>
        <v>6913.5482031672764</v>
      </c>
      <c r="AO126" s="1">
        <f t="shared" si="171"/>
        <v>6940.5908460152523</v>
      </c>
      <c r="AP126" s="1">
        <f t="shared" si="171"/>
        <v>6966.8223037953394</v>
      </c>
      <c r="AQ126" s="1">
        <f t="shared" si="171"/>
        <v>6992.2325271270238</v>
      </c>
      <c r="AR126" s="1">
        <f t="shared" si="171"/>
        <v>7016.8117536843265</v>
      </c>
      <c r="AS126" s="1">
        <f t="shared" si="171"/>
        <v>7040.550514443984</v>
      </c>
      <c r="AT126" s="1">
        <f t="shared" si="171"/>
        <v>7063.4396397632936</v>
      </c>
      <c r="AU126" s="1">
        <f t="shared" si="171"/>
        <v>7085.4702652821888</v>
      </c>
      <c r="AV126" s="1">
        <f t="shared" si="171"/>
        <v>7106.6338376441781</v>
      </c>
      <c r="AW126" s="1">
        <f t="shared" si="171"/>
        <v>7126.9221200310349</v>
      </c>
      <c r="AX126" s="1">
        <f t="shared" si="171"/>
        <v>7146.3271975061698</v>
      </c>
      <c r="AY126" s="1">
        <f t="shared" si="171"/>
        <v>7164.841482161889</v>
      </c>
      <c r="AZ126" s="1">
        <f t="shared" si="171"/>
        <v>7182.457718065808</v>
      </c>
      <c r="BA126" s="1">
        <f t="shared" si="171"/>
        <v>7199.1689860019314</v>
      </c>
      <c r="BB126" s="1">
        <f t="shared" si="171"/>
        <v>7214.9687080020494</v>
      </c>
      <c r="BC126" s="1">
        <f t="shared" si="171"/>
        <v>7229.8506516633006</v>
      </c>
      <c r="BD126" s="1">
        <f t="shared" si="171"/>
        <v>7243.8089342479279</v>
      </c>
      <c r="BE126" s="1">
        <f t="shared" si="171"/>
        <v>7256.8380265614633</v>
      </c>
    </row>
    <row r="127" spans="2:57" x14ac:dyDescent="0.2">
      <c r="B127" s="126" t="s">
        <v>392</v>
      </c>
      <c r="C127" s="126"/>
      <c r="D127" s="126"/>
      <c r="E127" s="126"/>
      <c r="F127" s="126"/>
      <c r="G127" s="126"/>
      <c r="H127" s="126"/>
      <c r="I127" s="126"/>
      <c r="J127" s="126"/>
      <c r="K127" s="127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8">
        <f t="shared" ref="AB127:BE127" si="173">AB16</f>
        <v>0.95040000000000002</v>
      </c>
      <c r="AC127" s="128">
        <f t="shared" si="173"/>
        <v>0.96032000000000006</v>
      </c>
      <c r="AD127" s="128">
        <f t="shared" si="173"/>
        <v>0.9702400000000001</v>
      </c>
      <c r="AE127" s="128">
        <f t="shared" si="173"/>
        <v>0.98016000000000014</v>
      </c>
      <c r="AF127" s="128">
        <f t="shared" si="173"/>
        <v>0.99008000000000018</v>
      </c>
      <c r="AG127" s="128">
        <f t="shared" si="173"/>
        <v>1</v>
      </c>
      <c r="AH127" s="128">
        <f t="shared" si="173"/>
        <v>1</v>
      </c>
      <c r="AI127" s="128">
        <f t="shared" si="173"/>
        <v>1</v>
      </c>
      <c r="AJ127" s="128">
        <f t="shared" si="173"/>
        <v>1</v>
      </c>
      <c r="AK127" s="128">
        <f t="shared" si="173"/>
        <v>1</v>
      </c>
      <c r="AL127" s="128">
        <f t="shared" si="173"/>
        <v>1</v>
      </c>
      <c r="AM127" s="128">
        <f t="shared" si="173"/>
        <v>1</v>
      </c>
      <c r="AN127" s="128">
        <f t="shared" ref="AN127" si="174">AN16</f>
        <v>1</v>
      </c>
      <c r="AO127" s="128">
        <f t="shared" si="173"/>
        <v>1</v>
      </c>
      <c r="AP127" s="128">
        <f t="shared" si="173"/>
        <v>1</v>
      </c>
      <c r="AQ127" s="128">
        <f t="shared" si="173"/>
        <v>1</v>
      </c>
      <c r="AR127" s="128">
        <f t="shared" si="173"/>
        <v>1</v>
      </c>
      <c r="AS127" s="128">
        <f t="shared" si="173"/>
        <v>1</v>
      </c>
      <c r="AT127" s="128">
        <f t="shared" si="173"/>
        <v>1</v>
      </c>
      <c r="AU127" s="128">
        <f t="shared" si="173"/>
        <v>1</v>
      </c>
      <c r="AV127" s="128">
        <f t="shared" si="173"/>
        <v>1</v>
      </c>
      <c r="AW127" s="128">
        <f t="shared" si="173"/>
        <v>1</v>
      </c>
      <c r="AX127" s="128">
        <f t="shared" si="173"/>
        <v>1</v>
      </c>
      <c r="AY127" s="128">
        <f t="shared" si="173"/>
        <v>1</v>
      </c>
      <c r="AZ127" s="128">
        <f t="shared" si="173"/>
        <v>1</v>
      </c>
      <c r="BA127" s="128">
        <f t="shared" si="173"/>
        <v>1</v>
      </c>
      <c r="BB127" s="128">
        <f t="shared" si="173"/>
        <v>1</v>
      </c>
      <c r="BC127" s="128">
        <f t="shared" si="173"/>
        <v>1</v>
      </c>
      <c r="BD127" s="128">
        <f t="shared" si="173"/>
        <v>1</v>
      </c>
      <c r="BE127" s="128">
        <f t="shared" si="173"/>
        <v>1</v>
      </c>
    </row>
    <row r="128" spans="2:57" x14ac:dyDescent="0.2">
      <c r="B128" t="s">
        <v>393</v>
      </c>
      <c r="AB128" s="10">
        <f>AB17</f>
        <v>0.95040000000000002</v>
      </c>
      <c r="AC128" s="10">
        <f t="shared" ref="AC128:BE128" si="175">AC17</f>
        <v>0.95032000000000005</v>
      </c>
      <c r="AD128" s="10">
        <f t="shared" si="175"/>
        <v>0.95024000000000008</v>
      </c>
      <c r="AE128" s="10">
        <f t="shared" si="175"/>
        <v>0.95016000000000012</v>
      </c>
      <c r="AF128" s="10">
        <f t="shared" si="175"/>
        <v>0.95008000000000015</v>
      </c>
      <c r="AG128" s="10">
        <f t="shared" si="175"/>
        <v>0.95</v>
      </c>
      <c r="AH128" s="10">
        <f t="shared" si="175"/>
        <v>0.95</v>
      </c>
      <c r="AI128" s="10">
        <f t="shared" si="175"/>
        <v>0.95</v>
      </c>
      <c r="AJ128" s="10">
        <f t="shared" si="175"/>
        <v>0.95</v>
      </c>
      <c r="AK128" s="10">
        <f t="shared" si="175"/>
        <v>0.95</v>
      </c>
      <c r="AL128" s="10">
        <f t="shared" si="175"/>
        <v>0.95</v>
      </c>
      <c r="AM128" s="10">
        <f t="shared" si="175"/>
        <v>0.95</v>
      </c>
      <c r="AN128" s="10">
        <f t="shared" ref="AN128" si="176">AN17</f>
        <v>0.95</v>
      </c>
      <c r="AO128" s="10">
        <f t="shared" si="175"/>
        <v>0.95</v>
      </c>
      <c r="AP128" s="10">
        <f t="shared" si="175"/>
        <v>0.95</v>
      </c>
      <c r="AQ128" s="10">
        <f t="shared" si="175"/>
        <v>0.95</v>
      </c>
      <c r="AR128" s="10">
        <f t="shared" si="175"/>
        <v>0.95</v>
      </c>
      <c r="AS128" s="10">
        <f t="shared" si="175"/>
        <v>0.95</v>
      </c>
      <c r="AT128" s="10">
        <f t="shared" si="175"/>
        <v>0.95</v>
      </c>
      <c r="AU128" s="10">
        <f t="shared" si="175"/>
        <v>0.95</v>
      </c>
      <c r="AV128" s="10">
        <f t="shared" si="175"/>
        <v>0.95</v>
      </c>
      <c r="AW128" s="10">
        <f t="shared" si="175"/>
        <v>0.95</v>
      </c>
      <c r="AX128" s="10">
        <f t="shared" si="175"/>
        <v>0.95</v>
      </c>
      <c r="AY128" s="10">
        <f t="shared" si="175"/>
        <v>0.95</v>
      </c>
      <c r="AZ128" s="10">
        <f t="shared" si="175"/>
        <v>0.95</v>
      </c>
      <c r="BA128" s="10">
        <f t="shared" si="175"/>
        <v>0.95</v>
      </c>
      <c r="BB128" s="10">
        <f t="shared" si="175"/>
        <v>0.95</v>
      </c>
      <c r="BC128" s="10">
        <f t="shared" si="175"/>
        <v>0.95</v>
      </c>
      <c r="BD128" s="10">
        <f t="shared" si="175"/>
        <v>0.95</v>
      </c>
      <c r="BE128" s="10">
        <f t="shared" si="175"/>
        <v>0.95</v>
      </c>
    </row>
    <row r="129" spans="2:57" x14ac:dyDescent="0.2">
      <c r="B129" t="s">
        <v>245</v>
      </c>
      <c r="AB129" s="10">
        <f>AB20</f>
        <v>0.44670000000000004</v>
      </c>
      <c r="AC129" s="10">
        <f t="shared" ref="AC129:BE129" si="177">AC20</f>
        <v>0.40736000000000006</v>
      </c>
      <c r="AD129" s="10">
        <f t="shared" si="177"/>
        <v>0.36802000000000007</v>
      </c>
      <c r="AE129" s="10">
        <f t="shared" si="177"/>
        <v>0.32868000000000008</v>
      </c>
      <c r="AF129" s="10">
        <f t="shared" si="177"/>
        <v>0.2893400000000001</v>
      </c>
      <c r="AG129" s="10">
        <f t="shared" si="177"/>
        <v>0.25</v>
      </c>
      <c r="AH129" s="10">
        <f t="shared" si="177"/>
        <v>0.25</v>
      </c>
      <c r="AI129" s="10">
        <f t="shared" si="177"/>
        <v>0.25</v>
      </c>
      <c r="AJ129" s="10">
        <f t="shared" si="177"/>
        <v>0.25</v>
      </c>
      <c r="AK129" s="10">
        <f t="shared" si="177"/>
        <v>0.25</v>
      </c>
      <c r="AL129" s="10">
        <f t="shared" si="177"/>
        <v>0.25</v>
      </c>
      <c r="AM129" s="10">
        <f t="shared" si="177"/>
        <v>0.25</v>
      </c>
      <c r="AN129" s="10">
        <f t="shared" ref="AN129" si="178">AN20</f>
        <v>0.25</v>
      </c>
      <c r="AO129" s="10">
        <f t="shared" si="177"/>
        <v>0.25</v>
      </c>
      <c r="AP129" s="10">
        <f t="shared" si="177"/>
        <v>0.25</v>
      </c>
      <c r="AQ129" s="10">
        <f t="shared" si="177"/>
        <v>0.25</v>
      </c>
      <c r="AR129" s="10">
        <f t="shared" si="177"/>
        <v>0.25</v>
      </c>
      <c r="AS129" s="10">
        <f t="shared" si="177"/>
        <v>0.25</v>
      </c>
      <c r="AT129" s="10">
        <f t="shared" si="177"/>
        <v>0.25</v>
      </c>
      <c r="AU129" s="10">
        <f t="shared" si="177"/>
        <v>0.25</v>
      </c>
      <c r="AV129" s="10">
        <f t="shared" si="177"/>
        <v>0.25</v>
      </c>
      <c r="AW129" s="10">
        <f t="shared" si="177"/>
        <v>0.25</v>
      </c>
      <c r="AX129" s="10">
        <f t="shared" si="177"/>
        <v>0.25</v>
      </c>
      <c r="AY129" s="10">
        <f t="shared" si="177"/>
        <v>0.25</v>
      </c>
      <c r="AZ129" s="10">
        <f t="shared" si="177"/>
        <v>0.25</v>
      </c>
      <c r="BA129" s="10">
        <f t="shared" si="177"/>
        <v>0.25</v>
      </c>
      <c r="BB129" s="10">
        <f t="shared" si="177"/>
        <v>0.25</v>
      </c>
      <c r="BC129" s="10">
        <f t="shared" si="177"/>
        <v>0.25</v>
      </c>
      <c r="BD129" s="10">
        <f t="shared" si="177"/>
        <v>0.25</v>
      </c>
      <c r="BE129" s="10">
        <f t="shared" si="177"/>
        <v>0.25</v>
      </c>
    </row>
    <row r="130" spans="2:57" x14ac:dyDescent="0.2">
      <c r="B130" s="4"/>
    </row>
    <row r="131" spans="2:57" x14ac:dyDescent="0.2">
      <c r="B131" t="s">
        <v>410</v>
      </c>
      <c r="AB131" s="1">
        <f>AB96</f>
        <v>1743.561042100416</v>
      </c>
      <c r="AC131" s="1">
        <f t="shared" ref="AC131:BE131" si="179">AC96</f>
        <v>1775.7716274104062</v>
      </c>
      <c r="AD131" s="1">
        <f t="shared" si="179"/>
        <v>1800.873536895939</v>
      </c>
      <c r="AE131" s="1">
        <f t="shared" si="179"/>
        <v>1825.8946072437632</v>
      </c>
      <c r="AF131" s="1">
        <f t="shared" si="179"/>
        <v>1850.8255583388527</v>
      </c>
      <c r="AG131" s="1">
        <f t="shared" si="179"/>
        <v>1875.6570859399753</v>
      </c>
      <c r="AH131" s="1">
        <f t="shared" si="179"/>
        <v>1881.713271762796</v>
      </c>
      <c r="AI131" s="1">
        <f t="shared" si="179"/>
        <v>1887.5358561623123</v>
      </c>
      <c r="AJ131" s="1">
        <f t="shared" si="179"/>
        <v>1893.1225181982597</v>
      </c>
      <c r="AK131" s="1">
        <f t="shared" si="179"/>
        <v>1898.4710246557188</v>
      </c>
      <c r="AL131" s="1">
        <f t="shared" si="179"/>
        <v>1903.5792315301439</v>
      </c>
      <c r="AM131" s="1">
        <f t="shared" si="179"/>
        <v>1908.4450854571826</v>
      </c>
      <c r="AN131" s="1">
        <f t="shared" ref="AN131" si="180">AN96</f>
        <v>1913.0666250859417</v>
      </c>
      <c r="AO131" s="1">
        <f t="shared" si="179"/>
        <v>1917.4419823944256</v>
      </c>
      <c r="AP131" s="1">
        <f t="shared" si="179"/>
        <v>1921.5693839459157</v>
      </c>
      <c r="AQ131" s="1">
        <f t="shared" si="179"/>
        <v>1925.4471520850971</v>
      </c>
      <c r="AR131" s="1">
        <f t="shared" si="179"/>
        <v>1929.0737060728177</v>
      </c>
      <c r="AS131" s="1">
        <f t="shared" si="179"/>
        <v>1932.4475631584028</v>
      </c>
      <c r="AT131" s="1">
        <f t="shared" si="179"/>
        <v>1935.5673395885065</v>
      </c>
      <c r="AU131" s="1">
        <f t="shared" si="179"/>
        <v>1938.431751551542</v>
      </c>
      <c r="AV131" s="1">
        <f t="shared" si="179"/>
        <v>1941.0396160567891</v>
      </c>
      <c r="AW131" s="1">
        <f t="shared" si="179"/>
        <v>1943.3898517473401</v>
      </c>
      <c r="AX131" s="1">
        <f t="shared" si="179"/>
        <v>1945.481479646098</v>
      </c>
      <c r="AY131" s="1">
        <f t="shared" si="179"/>
        <v>1947.313623834114</v>
      </c>
      <c r="AZ131" s="1">
        <f t="shared" si="179"/>
        <v>1948.885512060599</v>
      </c>
      <c r="BA131" s="1">
        <f t="shared" si="179"/>
        <v>1950.1964762840303</v>
      </c>
      <c r="BB131" s="1">
        <f t="shared" si="179"/>
        <v>1951.2459531438035</v>
      </c>
      <c r="BC131" s="1">
        <f t="shared" si="179"/>
        <v>1952.0334843619864</v>
      </c>
      <c r="BD131" s="1">
        <f t="shared" si="179"/>
        <v>1952.5587170747554</v>
      </c>
      <c r="BE131" s="1">
        <f t="shared" si="179"/>
        <v>1952.8214040931966</v>
      </c>
    </row>
    <row r="132" spans="2:57" x14ac:dyDescent="0.2">
      <c r="B132" t="s">
        <v>411</v>
      </c>
      <c r="AB132" s="1">
        <f>AB97</f>
        <v>1482.0268857853534</v>
      </c>
      <c r="AC132" s="1">
        <f t="shared" ref="AC132:BE132" si="181">AC97</f>
        <v>1509.4058832988451</v>
      </c>
      <c r="AD132" s="1">
        <f t="shared" si="181"/>
        <v>1530.7425063615481</v>
      </c>
      <c r="AE132" s="1">
        <f t="shared" si="181"/>
        <v>1552.0104161571987</v>
      </c>
      <c r="AF132" s="1">
        <f t="shared" si="181"/>
        <v>1573.2017245880245</v>
      </c>
      <c r="AG132" s="1">
        <f t="shared" si="181"/>
        <v>1602.834237075979</v>
      </c>
      <c r="AH132" s="1">
        <f t="shared" si="181"/>
        <v>1616.5627652871292</v>
      </c>
      <c r="AI132" s="1">
        <f t="shared" si="181"/>
        <v>1630.1446030492698</v>
      </c>
      <c r="AJ132" s="1">
        <f t="shared" si="181"/>
        <v>1643.574549890307</v>
      </c>
      <c r="AK132" s="1">
        <f t="shared" si="181"/>
        <v>1656.8474396995364</v>
      </c>
      <c r="AL132" s="1">
        <f t="shared" si="181"/>
        <v>1669.9581440241714</v>
      </c>
      <c r="AM132" s="1">
        <f t="shared" si="181"/>
        <v>1682.9015753576973</v>
      </c>
      <c r="AN132" s="1">
        <f t="shared" ref="AN132" si="182">AN97</f>
        <v>1695.6726904170844</v>
      </c>
      <c r="AO132" s="1">
        <f t="shared" si="181"/>
        <v>1708.2664934059424</v>
      </c>
      <c r="AP132" s="1">
        <f t="shared" si="181"/>
        <v>1720.6780392606604</v>
      </c>
      <c r="AQ132" s="1">
        <f t="shared" si="181"/>
        <v>1732.9024368765874</v>
      </c>
      <c r="AR132" s="1">
        <f t="shared" si="181"/>
        <v>1736.1663354655361</v>
      </c>
      <c r="AS132" s="1">
        <f t="shared" si="181"/>
        <v>1739.2028068425627</v>
      </c>
      <c r="AT132" s="1">
        <f t="shared" si="181"/>
        <v>1742.0106056296559</v>
      </c>
      <c r="AU132" s="1">
        <f t="shared" si="181"/>
        <v>1744.5885763963879</v>
      </c>
      <c r="AV132" s="1">
        <f t="shared" si="181"/>
        <v>1746.9356544511104</v>
      </c>
      <c r="AW132" s="1">
        <f t="shared" si="181"/>
        <v>1749.0508665726061</v>
      </c>
      <c r="AX132" s="1">
        <f t="shared" si="181"/>
        <v>1750.9333316814884</v>
      </c>
      <c r="AY132" s="1">
        <f t="shared" si="181"/>
        <v>1752.5822614507026</v>
      </c>
      <c r="AZ132" s="1">
        <f t="shared" si="181"/>
        <v>1753.9969608545393</v>
      </c>
      <c r="BA132" s="1">
        <f t="shared" si="181"/>
        <v>1755.1768286556273</v>
      </c>
      <c r="BB132" s="1">
        <f t="shared" si="181"/>
        <v>1756.1213578294235</v>
      </c>
      <c r="BC132" s="1">
        <f t="shared" si="181"/>
        <v>1756.830135925788</v>
      </c>
      <c r="BD132" s="1">
        <f t="shared" si="181"/>
        <v>1757.30284536728</v>
      </c>
      <c r="BE132" s="1">
        <f t="shared" si="181"/>
        <v>1757.5392636838772</v>
      </c>
    </row>
    <row r="133" spans="2:57" x14ac:dyDescent="0.2">
      <c r="B133" s="6" t="s">
        <v>409</v>
      </c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125">
        <f>(AB155+AB156)/(AB131+AB132)/1000</f>
        <v>2.2512750000000001</v>
      </c>
      <c r="AC133" s="125">
        <f>(AC155+AC156)/(AC131+AC132)/1000</f>
        <v>2.2512750000000001</v>
      </c>
      <c r="AD133" s="125">
        <f t="shared" ref="AD133:BE133" si="183">(AD155+AD156)/(AD131+AD132)/1000</f>
        <v>2.2512750000000001</v>
      </c>
      <c r="AE133" s="125">
        <f t="shared" si="183"/>
        <v>2.2512750000000001</v>
      </c>
      <c r="AF133" s="125">
        <f t="shared" si="183"/>
        <v>2.2512750000000006</v>
      </c>
      <c r="AG133" s="125">
        <f t="shared" si="183"/>
        <v>2.2512749999999997</v>
      </c>
      <c r="AH133" s="125">
        <f t="shared" si="183"/>
        <v>2.2512750000000001</v>
      </c>
      <c r="AI133" s="125">
        <f t="shared" si="183"/>
        <v>2.2512750000000001</v>
      </c>
      <c r="AJ133" s="125">
        <f t="shared" si="183"/>
        <v>2.2512750000000001</v>
      </c>
      <c r="AK133" s="125">
        <f t="shared" si="183"/>
        <v>2.2512750000000001</v>
      </c>
      <c r="AL133" s="125">
        <f t="shared" si="183"/>
        <v>2.2512750000000006</v>
      </c>
      <c r="AM133" s="125">
        <f t="shared" si="183"/>
        <v>2.2512750000000001</v>
      </c>
      <c r="AN133" s="125">
        <f t="shared" ref="AN133" si="184">(AN155+AN156)/(AN131+AN132)/1000</f>
        <v>2.2512750000000006</v>
      </c>
      <c r="AO133" s="125">
        <f t="shared" si="183"/>
        <v>2.2512750000000001</v>
      </c>
      <c r="AP133" s="125">
        <f t="shared" si="183"/>
        <v>2.2512750000000001</v>
      </c>
      <c r="AQ133" s="125">
        <f t="shared" si="183"/>
        <v>2.2512750000000001</v>
      </c>
      <c r="AR133" s="125">
        <f t="shared" si="183"/>
        <v>2.2512750000000006</v>
      </c>
      <c r="AS133" s="125">
        <f t="shared" si="183"/>
        <v>2.2512750000000001</v>
      </c>
      <c r="AT133" s="125">
        <f t="shared" si="183"/>
        <v>2.2512750000000001</v>
      </c>
      <c r="AU133" s="125">
        <f t="shared" si="183"/>
        <v>2.2512750000000001</v>
      </c>
      <c r="AV133" s="125">
        <f t="shared" si="183"/>
        <v>2.2512750000000001</v>
      </c>
      <c r="AW133" s="125">
        <f t="shared" si="183"/>
        <v>2.2512749999999997</v>
      </c>
      <c r="AX133" s="125">
        <f t="shared" si="183"/>
        <v>2.2512750000000001</v>
      </c>
      <c r="AY133" s="125">
        <f t="shared" si="183"/>
        <v>2.2512750000000006</v>
      </c>
      <c r="AZ133" s="125">
        <f t="shared" si="183"/>
        <v>2.2512750000000001</v>
      </c>
      <c r="BA133" s="125">
        <f t="shared" si="183"/>
        <v>2.2512749999999997</v>
      </c>
      <c r="BB133" s="125">
        <f t="shared" si="183"/>
        <v>2.2512750000000001</v>
      </c>
      <c r="BC133" s="125">
        <f t="shared" si="183"/>
        <v>2.2512750000000006</v>
      </c>
      <c r="BD133" s="125">
        <f t="shared" si="183"/>
        <v>2.2512750000000001</v>
      </c>
      <c r="BE133" s="125">
        <f t="shared" si="183"/>
        <v>2.2512750000000001</v>
      </c>
    </row>
    <row r="134" spans="2:57" x14ac:dyDescent="0.2">
      <c r="B134" s="4"/>
    </row>
    <row r="135" spans="2:57" x14ac:dyDescent="0.2">
      <c r="B135" t="s">
        <v>401</v>
      </c>
      <c r="AB135" s="2">
        <f t="shared" ref="AB135:BE135" ca="1" si="185">SUM(AB71:AB76)/((AB$37+AB$49))</f>
        <v>381.83052607436764</v>
      </c>
      <c r="AC135" s="2">
        <f t="shared" ca="1" si="185"/>
        <v>376.57693208823747</v>
      </c>
      <c r="AD135" s="2">
        <f t="shared" ca="1" si="185"/>
        <v>371.51317976866545</v>
      </c>
      <c r="AE135" s="2">
        <f t="shared" ca="1" si="185"/>
        <v>376.82840993419813</v>
      </c>
      <c r="AF135" s="2">
        <f t="shared" ca="1" si="185"/>
        <v>371.95843177326805</v>
      </c>
      <c r="AG135" s="2">
        <f t="shared" ca="1" si="185"/>
        <v>366.75332335885429</v>
      </c>
      <c r="AH135" s="2">
        <f t="shared" ca="1" si="185"/>
        <v>363.75432485358544</v>
      </c>
      <c r="AI135" s="2">
        <f t="shared" ca="1" si="185"/>
        <v>360.71517879115947</v>
      </c>
      <c r="AJ135" s="2">
        <f t="shared" ca="1" si="185"/>
        <v>357.72002993057589</v>
      </c>
      <c r="AK135" s="2">
        <f t="shared" ca="1" si="185"/>
        <v>354.31421746692507</v>
      </c>
      <c r="AL135" s="2">
        <f t="shared" ca="1" si="185"/>
        <v>352.92984704017221</v>
      </c>
      <c r="AM135" s="2">
        <f t="shared" ca="1" si="185"/>
        <v>351.81071624310744</v>
      </c>
      <c r="AN135" s="2">
        <f t="shared" ref="AN135" ca="1" si="186">SUM(AN71:AN76)/((AN$37+AN$49))</f>
        <v>350.67494421464369</v>
      </c>
      <c r="AO135" s="2">
        <f t="shared" ca="1" si="185"/>
        <v>349.55374744840816</v>
      </c>
      <c r="AP135" s="2">
        <f t="shared" ca="1" si="185"/>
        <v>348.47184697481316</v>
      </c>
      <c r="AQ135" s="2">
        <f t="shared" ca="1" si="185"/>
        <v>347.34823917982999</v>
      </c>
      <c r="AR135" s="2">
        <f t="shared" ca="1" si="185"/>
        <v>346.26063433007073</v>
      </c>
      <c r="AS135" s="2">
        <f t="shared" ca="1" si="185"/>
        <v>345.16728992508502</v>
      </c>
      <c r="AT135" s="2">
        <f t="shared" ca="1" si="185"/>
        <v>344.08436636023021</v>
      </c>
      <c r="AU135" s="2">
        <f t="shared" ca="1" si="185"/>
        <v>343.09436143599419</v>
      </c>
      <c r="AV135" s="2">
        <f t="shared" ca="1" si="185"/>
        <v>342.01278263639688</v>
      </c>
      <c r="AW135" s="2">
        <f t="shared" ca="1" si="185"/>
        <v>340.95449650966015</v>
      </c>
      <c r="AX135" s="2">
        <f t="shared" ca="1" si="185"/>
        <v>339.90495699992886</v>
      </c>
      <c r="AY135" s="2">
        <f t="shared" ca="1" si="185"/>
        <v>338.89246775240753</v>
      </c>
      <c r="AZ135" s="2">
        <f t="shared" ca="1" si="185"/>
        <v>337.89604619504587</v>
      </c>
      <c r="BA135" s="2">
        <f t="shared" ca="1" si="185"/>
        <v>336.95771422014559</v>
      </c>
      <c r="BB135" s="2">
        <f t="shared" ca="1" si="185"/>
        <v>335.91981412769911</v>
      </c>
      <c r="BC135" s="2">
        <f t="shared" ca="1" si="185"/>
        <v>334.94070014423602</v>
      </c>
      <c r="BD135" s="2">
        <f t="shared" ca="1" si="185"/>
        <v>333.99714635101486</v>
      </c>
      <c r="BE135" s="2">
        <f t="shared" ca="1" si="185"/>
        <v>333.0452093488351</v>
      </c>
    </row>
    <row r="136" spans="2:57" x14ac:dyDescent="0.2">
      <c r="B136" s="121" t="s">
        <v>400</v>
      </c>
      <c r="C136" s="121"/>
      <c r="D136" s="121"/>
      <c r="E136" s="121"/>
      <c r="F136" s="121"/>
      <c r="G136" s="121"/>
      <c r="H136" s="121"/>
      <c r="I136" s="121"/>
      <c r="J136" s="121"/>
      <c r="K136" s="122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3">
        <f t="shared" ref="AB136:BE136" ca="1" si="187">SUM(AB71:AB76)/((AB$63+AB$64)*1000)</f>
        <v>1.5061793443178502</v>
      </c>
      <c r="AC136" s="123">
        <f t="shared" ca="1" si="187"/>
        <v>1.5500784733642963</v>
      </c>
      <c r="AD136" s="123">
        <f t="shared" ca="1" si="187"/>
        <v>1.5896476318498756</v>
      </c>
      <c r="AE136" s="123">
        <f t="shared" ca="1" si="187"/>
        <v>1.6705189885622165</v>
      </c>
      <c r="AF136" s="123">
        <f t="shared" ca="1" si="187"/>
        <v>1.7034150957509686</v>
      </c>
      <c r="AG136" s="123">
        <f t="shared" ca="1" si="187"/>
        <v>1.7270486845801671</v>
      </c>
      <c r="AH136" s="123">
        <f t="shared" ca="1" si="187"/>
        <v>1.7121143909558025</v>
      </c>
      <c r="AI136" s="123">
        <f t="shared" ca="1" si="187"/>
        <v>1.6970166436502685</v>
      </c>
      <c r="AJ136" s="123">
        <f t="shared" ca="1" si="187"/>
        <v>1.6821510552210455</v>
      </c>
      <c r="AK136" s="123">
        <f t="shared" ca="1" si="187"/>
        <v>1.6653799711440522</v>
      </c>
      <c r="AL136" s="123">
        <f t="shared" ca="1" si="187"/>
        <v>1.6581321476992015</v>
      </c>
      <c r="AM136" s="123">
        <f t="shared" ca="1" si="187"/>
        <v>1.6521473393886765</v>
      </c>
      <c r="AN136" s="123">
        <f t="shared" ref="AN136" ca="1" si="188">SUM(AN71:AN76)/((AN$63+AN$64)*1000)</f>
        <v>1.6461005867599097</v>
      </c>
      <c r="AO136" s="123">
        <f t="shared" ca="1" si="187"/>
        <v>1.6401383207307052</v>
      </c>
      <c r="AP136" s="123">
        <f t="shared" ca="1" si="187"/>
        <v>1.6343762595974478</v>
      </c>
      <c r="AQ136" s="123">
        <f t="shared" ca="1" si="187"/>
        <v>1.6284342769032236</v>
      </c>
      <c r="AR136" s="123">
        <f t="shared" ca="1" si="187"/>
        <v>1.6259792482472772</v>
      </c>
      <c r="AS136" s="123">
        <f t="shared" ca="1" si="187"/>
        <v>1.6234892137972781</v>
      </c>
      <c r="AT136" s="123">
        <f t="shared" ca="1" si="187"/>
        <v>1.6210401363350111</v>
      </c>
      <c r="AU136" s="123">
        <f t="shared" ca="1" si="187"/>
        <v>1.619021514274116</v>
      </c>
      <c r="AV136" s="123">
        <f t="shared" ca="1" si="187"/>
        <v>1.6165634391424513</v>
      </c>
      <c r="AW136" s="123">
        <f t="shared" ca="1" si="187"/>
        <v>1.614207567839282</v>
      </c>
      <c r="AX136" s="123">
        <f t="shared" ca="1" si="187"/>
        <v>1.6118854248613754</v>
      </c>
      <c r="AY136" s="123">
        <f t="shared" ca="1" si="187"/>
        <v>1.609731618585275</v>
      </c>
      <c r="AZ136" s="123">
        <f t="shared" ca="1" si="187"/>
        <v>1.6076471511479284</v>
      </c>
      <c r="BA136" s="123">
        <f t="shared" ca="1" si="187"/>
        <v>1.6058326292687166</v>
      </c>
      <c r="BB136" s="123">
        <f t="shared" ca="1" si="187"/>
        <v>1.6035368036432838</v>
      </c>
      <c r="BC136" s="123">
        <f t="shared" ca="1" si="187"/>
        <v>1.6015144483278079</v>
      </c>
      <c r="BD136" s="123">
        <f t="shared" ca="1" si="187"/>
        <v>1.5996556872376015</v>
      </c>
      <c r="BE136" s="123">
        <f t="shared" ca="1" si="187"/>
        <v>1.5977505229939097</v>
      </c>
    </row>
    <row r="137" spans="2:57" x14ac:dyDescent="0.2">
      <c r="B137" t="s">
        <v>394</v>
      </c>
      <c r="AB137" s="2">
        <f>AB87</f>
        <v>105.03741450710376</v>
      </c>
      <c r="AC137" s="2">
        <f t="shared" ref="AC137:BE142" si="189">AC87</f>
        <v>103.5056253431089</v>
      </c>
      <c r="AD137" s="2">
        <f t="shared" si="189"/>
        <v>102.42403679405732</v>
      </c>
      <c r="AE137" s="2">
        <f t="shared" si="189"/>
        <v>105.93904293035321</v>
      </c>
      <c r="AF137" s="2">
        <f t="shared" si="189"/>
        <v>104.86511569296995</v>
      </c>
      <c r="AG137" s="2">
        <f t="shared" si="189"/>
        <v>103.81841596204124</v>
      </c>
      <c r="AH137" s="2">
        <f t="shared" si="189"/>
        <v>103.31870751597356</v>
      </c>
      <c r="AI137" s="2">
        <f t="shared" si="189"/>
        <v>102.8349305918638</v>
      </c>
      <c r="AJ137" s="2">
        <f t="shared" si="189"/>
        <v>102.36688460420601</v>
      </c>
      <c r="AK137" s="2">
        <f t="shared" si="189"/>
        <v>101.91437607062342</v>
      </c>
      <c r="AL137" s="2">
        <f t="shared" si="189"/>
        <v>101.47721847889123</v>
      </c>
      <c r="AM137" s="2">
        <f t="shared" si="189"/>
        <v>101.05523215910776</v>
      </c>
      <c r="AN137" s="2">
        <f t="shared" ref="AN137" si="190">AN87</f>
        <v>100.64824416089196</v>
      </c>
      <c r="AO137" s="2">
        <f t="shared" si="189"/>
        <v>100.25608813548938</v>
      </c>
      <c r="AP137" s="2">
        <f t="shared" si="189"/>
        <v>99.878604222674483</v>
      </c>
      <c r="AQ137" s="2">
        <f t="shared" si="189"/>
        <v>99.515638942342491</v>
      </c>
      <c r="AR137" s="2">
        <f t="shared" si="189"/>
        <v>99.167045090686983</v>
      </c>
      <c r="AS137" s="2">
        <f t="shared" si="189"/>
        <v>98.832681640865758</v>
      </c>
      <c r="AT137" s="2">
        <f t="shared" si="189"/>
        <v>98.512413648061496</v>
      </c>
      <c r="AU137" s="2">
        <f t="shared" si="189"/>
        <v>98.206112158846722</v>
      </c>
      <c r="AV137" s="2">
        <f t="shared" si="189"/>
        <v>97.913654124769579</v>
      </c>
      <c r="AW137" s="2">
        <f t="shared" si="189"/>
        <v>97.634922320078047</v>
      </c>
      <c r="AX137" s="2">
        <f t="shared" si="189"/>
        <v>97.369805263506507</v>
      </c>
      <c r="AY137" s="2">
        <f t="shared" si="189"/>
        <v>97.118197144051422</v>
      </c>
      <c r="AZ137" s="2">
        <f t="shared" si="189"/>
        <v>96.879997750666959</v>
      </c>
      <c r="BA137" s="2">
        <f t="shared" si="189"/>
        <v>96.655112405815288</v>
      </c>
      <c r="BB137" s="2">
        <f t="shared" si="189"/>
        <v>96.443451902810168</v>
      </c>
      <c r="BC137" s="2">
        <f t="shared" si="189"/>
        <v>96.244932446895263</v>
      </c>
      <c r="BD137" s="2">
        <f t="shared" si="189"/>
        <v>96.059475600003466</v>
      </c>
      <c r="BE137" s="2">
        <f t="shared" si="189"/>
        <v>95.887008229145636</v>
      </c>
    </row>
    <row r="138" spans="2:57" x14ac:dyDescent="0.2">
      <c r="B138" t="s">
        <v>396</v>
      </c>
      <c r="AB138" s="2">
        <f t="shared" ref="AB138:AQ142" si="191">AB88</f>
        <v>8.4252510989298937E-2</v>
      </c>
      <c r="AC138" s="2">
        <f t="shared" si="191"/>
        <v>8.7120421450215382E-2</v>
      </c>
      <c r="AD138" s="2">
        <f t="shared" si="191"/>
        <v>8.9051321488344604E-2</v>
      </c>
      <c r="AE138" s="2">
        <f t="shared" si="191"/>
        <v>9.0678972694817561E-2</v>
      </c>
      <c r="AF138" s="2">
        <f t="shared" si="191"/>
        <v>9.2042249953308383E-2</v>
      </c>
      <c r="AG138" s="2">
        <f t="shared" si="191"/>
        <v>9.2948245470490382E-2</v>
      </c>
      <c r="AH138" s="2">
        <f t="shared" si="191"/>
        <v>9.1714415635935173E-2</v>
      </c>
      <c r="AI138" s="2">
        <f t="shared" si="191"/>
        <v>9.043259981392146E-2</v>
      </c>
      <c r="AJ138" s="2">
        <f t="shared" si="191"/>
        <v>8.9142791848455846E-2</v>
      </c>
      <c r="AK138" s="2">
        <f t="shared" si="191"/>
        <v>8.7450810273773064E-2</v>
      </c>
      <c r="AL138" s="2">
        <f t="shared" si="191"/>
        <v>8.7354729060924521E-2</v>
      </c>
      <c r="AM138" s="2">
        <f t="shared" si="191"/>
        <v>8.7282970681104105E-2</v>
      </c>
      <c r="AN138" s="2">
        <f t="shared" ref="AN138" si="192">AN88</f>
        <v>8.7168361908974132E-2</v>
      </c>
      <c r="AO138" s="2">
        <f t="shared" si="191"/>
        <v>8.7045717115827773E-2</v>
      </c>
      <c r="AP138" s="2">
        <f t="shared" si="191"/>
        <v>8.6931678356768613E-2</v>
      </c>
      <c r="AQ138" s="2">
        <f t="shared" si="191"/>
        <v>8.6775055691338185E-2</v>
      </c>
      <c r="AR138" s="2">
        <f t="shared" si="189"/>
        <v>8.6804994975802213E-2</v>
      </c>
      <c r="AS138" s="2">
        <f t="shared" si="189"/>
        <v>8.6808553771878974E-2</v>
      </c>
      <c r="AT138" s="2">
        <f t="shared" si="189"/>
        <v>8.6820131467382017E-2</v>
      </c>
      <c r="AU138" s="2">
        <f t="shared" si="189"/>
        <v>8.6824808390105992E-2</v>
      </c>
      <c r="AV138" s="2">
        <f t="shared" si="189"/>
        <v>8.6803945700786533E-2</v>
      </c>
      <c r="AW138" s="2">
        <f t="shared" si="189"/>
        <v>8.6775479849277776E-2</v>
      </c>
      <c r="AX138" s="2">
        <f t="shared" si="189"/>
        <v>8.6722552305225936E-2</v>
      </c>
      <c r="AY138" s="2">
        <f t="shared" si="189"/>
        <v>8.6678302882134309E-2</v>
      </c>
      <c r="AZ138" s="2">
        <f t="shared" si="189"/>
        <v>8.662747613323922E-2</v>
      </c>
      <c r="BA138" s="2">
        <f t="shared" si="189"/>
        <v>8.6589151591271077E-2</v>
      </c>
      <c r="BB138" s="2">
        <f t="shared" si="189"/>
        <v>8.6487094906902928E-2</v>
      </c>
      <c r="BC138" s="2">
        <f t="shared" si="189"/>
        <v>8.6397601479612576E-2</v>
      </c>
      <c r="BD138" s="2">
        <f t="shared" si="189"/>
        <v>8.6318102811123898E-2</v>
      </c>
      <c r="BE138" s="2">
        <f t="shared" si="189"/>
        <v>8.6215526724477284E-2</v>
      </c>
    </row>
    <row r="139" spans="2:57" x14ac:dyDescent="0.2">
      <c r="B139" t="s">
        <v>395</v>
      </c>
      <c r="AB139" s="2">
        <f t="shared" si="191"/>
        <v>0.46596612248056318</v>
      </c>
      <c r="AC139" s="2">
        <f t="shared" si="189"/>
        <v>0.48142555594769959</v>
      </c>
      <c r="AD139" s="2">
        <f t="shared" si="189"/>
        <v>0.49158173096918251</v>
      </c>
      <c r="AE139" s="2">
        <f t="shared" si="189"/>
        <v>0.50002237580742881</v>
      </c>
      <c r="AF139" s="2">
        <f t="shared" si="189"/>
        <v>0.50697721655535621</v>
      </c>
      <c r="AG139" s="2">
        <f t="shared" si="189"/>
        <v>0.51138154795690449</v>
      </c>
      <c r="AH139" s="2">
        <f t="shared" si="189"/>
        <v>0.50401529595435479</v>
      </c>
      <c r="AI139" s="2">
        <f t="shared" si="189"/>
        <v>0.49637446783610661</v>
      </c>
      <c r="AJ139" s="2">
        <f t="shared" si="189"/>
        <v>0.48869069341925031</v>
      </c>
      <c r="AK139" s="2">
        <f t="shared" si="189"/>
        <v>0.47861555538406608</v>
      </c>
      <c r="AL139" s="2">
        <f t="shared" si="189"/>
        <v>0.47806965062226581</v>
      </c>
      <c r="AM139" s="2">
        <f t="shared" si="189"/>
        <v>0.4776786284048235</v>
      </c>
      <c r="AN139" s="2">
        <f t="shared" ref="AN139" si="193">AN89</f>
        <v>0.47703806331089094</v>
      </c>
      <c r="AO139" s="2">
        <f t="shared" si="189"/>
        <v>0.47635396968043314</v>
      </c>
      <c r="AP139" s="2">
        <f t="shared" si="189"/>
        <v>0.47572719379855077</v>
      </c>
      <c r="AQ139" s="2">
        <f t="shared" si="189"/>
        <v>0.47485585844741912</v>
      </c>
      <c r="AR139" s="2">
        <f t="shared" si="189"/>
        <v>0.47501117994028752</v>
      </c>
      <c r="AS139" s="2">
        <f t="shared" si="189"/>
        <v>0.4750205741906236</v>
      </c>
      <c r="AT139" s="2">
        <f t="shared" si="189"/>
        <v>0.4750857245482315</v>
      </c>
      <c r="AU139" s="2">
        <f t="shared" si="189"/>
        <v>0.47511081112548342</v>
      </c>
      <c r="AV139" s="2">
        <f t="shared" si="189"/>
        <v>0.47499295268401581</v>
      </c>
      <c r="AW139" s="2">
        <f t="shared" si="189"/>
        <v>0.47483431726430947</v>
      </c>
      <c r="AX139" s="2">
        <f t="shared" si="189"/>
        <v>0.47453570232210412</v>
      </c>
      <c r="AY139" s="2">
        <f t="shared" si="189"/>
        <v>0.47429508891316002</v>
      </c>
      <c r="AZ139" s="2">
        <f t="shared" si="189"/>
        <v>0.4740162179792361</v>
      </c>
      <c r="BA139" s="2">
        <f t="shared" si="189"/>
        <v>0.47380283828236563</v>
      </c>
      <c r="BB139" s="2">
        <f t="shared" si="189"/>
        <v>0.47324063077945971</v>
      </c>
      <c r="BC139" s="2">
        <f t="shared" si="189"/>
        <v>0.4727441141206265</v>
      </c>
      <c r="BD139" s="2">
        <f t="shared" si="189"/>
        <v>0.47230824009477218</v>
      </c>
      <c r="BE139" s="2">
        <f t="shared" si="189"/>
        <v>0.47173561832454652</v>
      </c>
    </row>
    <row r="140" spans="2:57" x14ac:dyDescent="0.2">
      <c r="B140" t="s">
        <v>397</v>
      </c>
      <c r="AB140" s="2">
        <f t="shared" si="191"/>
        <v>0</v>
      </c>
      <c r="AC140" s="2">
        <f t="shared" si="189"/>
        <v>0</v>
      </c>
      <c r="AD140" s="2">
        <f t="shared" si="189"/>
        <v>0</v>
      </c>
      <c r="AE140" s="2">
        <f t="shared" si="189"/>
        <v>0</v>
      </c>
      <c r="AF140" s="2">
        <f t="shared" si="189"/>
        <v>0</v>
      </c>
      <c r="AG140" s="2">
        <f t="shared" si="189"/>
        <v>0</v>
      </c>
      <c r="AH140" s="2">
        <f t="shared" si="189"/>
        <v>0</v>
      </c>
      <c r="AI140" s="2">
        <f t="shared" si="189"/>
        <v>0</v>
      </c>
      <c r="AJ140" s="2">
        <f t="shared" si="189"/>
        <v>0</v>
      </c>
      <c r="AK140" s="2">
        <f t="shared" si="189"/>
        <v>0</v>
      </c>
      <c r="AL140" s="2">
        <f t="shared" si="189"/>
        <v>0</v>
      </c>
      <c r="AM140" s="2">
        <f t="shared" si="189"/>
        <v>0</v>
      </c>
      <c r="AN140" s="2">
        <f t="shared" ref="AN140" si="194">AN90</f>
        <v>0</v>
      </c>
      <c r="AO140" s="2">
        <f t="shared" si="189"/>
        <v>0</v>
      </c>
      <c r="AP140" s="2">
        <f t="shared" si="189"/>
        <v>0</v>
      </c>
      <c r="AQ140" s="2">
        <f t="shared" si="189"/>
        <v>0</v>
      </c>
      <c r="AR140" s="2">
        <f t="shared" si="189"/>
        <v>0</v>
      </c>
      <c r="AS140" s="2">
        <f t="shared" si="189"/>
        <v>0</v>
      </c>
      <c r="AT140" s="2">
        <f t="shared" si="189"/>
        <v>0</v>
      </c>
      <c r="AU140" s="2">
        <f t="shared" si="189"/>
        <v>0</v>
      </c>
      <c r="AV140" s="2">
        <f t="shared" si="189"/>
        <v>0</v>
      </c>
      <c r="AW140" s="2">
        <f t="shared" si="189"/>
        <v>0</v>
      </c>
      <c r="AX140" s="2">
        <f t="shared" si="189"/>
        <v>0</v>
      </c>
      <c r="AY140" s="2">
        <f t="shared" si="189"/>
        <v>0</v>
      </c>
      <c r="AZ140" s="2">
        <f t="shared" si="189"/>
        <v>0</v>
      </c>
      <c r="BA140" s="2">
        <f t="shared" si="189"/>
        <v>0</v>
      </c>
      <c r="BB140" s="2">
        <f t="shared" si="189"/>
        <v>0</v>
      </c>
      <c r="BC140" s="2">
        <f t="shared" si="189"/>
        <v>0</v>
      </c>
      <c r="BD140" s="2">
        <f t="shared" si="189"/>
        <v>0</v>
      </c>
      <c r="BE140" s="2">
        <f t="shared" si="189"/>
        <v>0</v>
      </c>
    </row>
    <row r="141" spans="2:57" x14ac:dyDescent="0.2">
      <c r="B141" t="s">
        <v>398</v>
      </c>
      <c r="AB141" s="2">
        <f t="shared" si="191"/>
        <v>87.429153630087413</v>
      </c>
      <c r="AC141" s="2">
        <f t="shared" si="189"/>
        <v>86.154150520231241</v>
      </c>
      <c r="AD141" s="2">
        <f t="shared" si="189"/>
        <v>85.253877299842898</v>
      </c>
      <c r="AE141" s="2">
        <f t="shared" si="189"/>
        <v>89.8612665275745</v>
      </c>
      <c r="AF141" s="2">
        <f t="shared" si="189"/>
        <v>88.950323224328287</v>
      </c>
      <c r="AG141" s="2">
        <f t="shared" si="189"/>
        <v>88.062475261069252</v>
      </c>
      <c r="AH141" s="2">
        <f t="shared" si="189"/>
        <v>87.638604772757503</v>
      </c>
      <c r="AI141" s="2">
        <f t="shared" si="189"/>
        <v>87.228247968364826</v>
      </c>
      <c r="AJ141" s="2">
        <f t="shared" si="189"/>
        <v>86.831234704126359</v>
      </c>
      <c r="AK141" s="2">
        <f t="shared" si="189"/>
        <v>86.447400861404191</v>
      </c>
      <c r="AL141" s="2">
        <f t="shared" si="189"/>
        <v>86.076588233891357</v>
      </c>
      <c r="AM141" s="2">
        <f t="shared" si="189"/>
        <v>85.718644419182908</v>
      </c>
      <c r="AN141" s="2">
        <f t="shared" ref="AN141" si="195">AN91</f>
        <v>85.373422714610427</v>
      </c>
      <c r="AO141" s="2">
        <f t="shared" si="189"/>
        <v>85.040782017240119</v>
      </c>
      <c r="AP141" s="2">
        <f t="shared" si="189"/>
        <v>84.720586727939349</v>
      </c>
      <c r="AQ141" s="2">
        <f t="shared" si="189"/>
        <v>84.412706659420962</v>
      </c>
      <c r="AR141" s="2">
        <f t="shared" si="189"/>
        <v>84.117016948177465</v>
      </c>
      <c r="AS141" s="2">
        <f t="shared" si="189"/>
        <v>83.833397970222208</v>
      </c>
      <c r="AT141" s="2">
        <f t="shared" si="189"/>
        <v>83.561735260558535</v>
      </c>
      <c r="AU141" s="2">
        <f t="shared" si="189"/>
        <v>83.301919436299897</v>
      </c>
      <c r="AV141" s="2">
        <f t="shared" si="189"/>
        <v>83.053846123370178</v>
      </c>
      <c r="AW141" s="2">
        <f t="shared" si="189"/>
        <v>82.817415886714514</v>
      </c>
      <c r="AX141" s="2">
        <f t="shared" si="189"/>
        <v>82.592534163955861</v>
      </c>
      <c r="AY141" s="2">
        <f t="shared" si="189"/>
        <v>82.379111202435254</v>
      </c>
      <c r="AZ141" s="2">
        <f t="shared" si="189"/>
        <v>82.177061999577148</v>
      </c>
      <c r="BA141" s="2">
        <f t="shared" si="189"/>
        <v>81.98630624652445</v>
      </c>
      <c r="BB141" s="2">
        <f t="shared" si="189"/>
        <v>81.806768274991057</v>
      </c>
      <c r="BC141" s="2">
        <f t="shared" si="189"/>
        <v>81.638377007282457</v>
      </c>
      <c r="BD141" s="2">
        <f t="shared" si="189"/>
        <v>81.481065909438541</v>
      </c>
      <c r="BE141" s="2">
        <f t="shared" si="189"/>
        <v>81.334772947455164</v>
      </c>
    </row>
    <row r="142" spans="2:57" x14ac:dyDescent="0.2">
      <c r="B142" t="s">
        <v>399</v>
      </c>
      <c r="AB142" s="2">
        <f t="shared" ca="1" si="191"/>
        <v>49.878397292426591</v>
      </c>
      <c r="AC142" s="2">
        <f t="shared" ca="1" si="189"/>
        <v>48.794278190904031</v>
      </c>
      <c r="AD142" s="2">
        <f t="shared" ca="1" si="189"/>
        <v>48.136745276092448</v>
      </c>
      <c r="AE142" s="2">
        <f t="shared" ca="1" si="189"/>
        <v>47.780258682104574</v>
      </c>
      <c r="AF142" s="2">
        <f t="shared" ca="1" si="189"/>
        <v>47.34085195678152</v>
      </c>
      <c r="AG142" s="2">
        <f t="shared" ca="1" si="189"/>
        <v>46.537914340638309</v>
      </c>
      <c r="AH142" s="2">
        <f t="shared" ca="1" si="189"/>
        <v>46.228799494831151</v>
      </c>
      <c r="AI142" s="2">
        <f t="shared" ca="1" si="189"/>
        <v>45.921216290005425</v>
      </c>
      <c r="AJ142" s="2">
        <f t="shared" ca="1" si="189"/>
        <v>45.64197602701725</v>
      </c>
      <c r="AK142" s="2">
        <f t="shared" ca="1" si="189"/>
        <v>45.520247967682394</v>
      </c>
      <c r="AL142" s="2">
        <f t="shared" ca="1" si="189"/>
        <v>45.02668209844979</v>
      </c>
      <c r="AM142" s="2">
        <f t="shared" ca="1" si="189"/>
        <v>44.733074930482616</v>
      </c>
      <c r="AN142" s="2">
        <f t="shared" ref="AN142" ca="1" si="196">AN92</f>
        <v>44.458279365802127</v>
      </c>
      <c r="AO142" s="2">
        <f t="shared" ca="1" si="189"/>
        <v>44.182570548700362</v>
      </c>
      <c r="AP142" s="2">
        <f t="shared" ca="1" si="189"/>
        <v>43.905925447103016</v>
      </c>
      <c r="AQ142" s="2">
        <f t="shared" ca="1" si="189"/>
        <v>43.622913213565717</v>
      </c>
      <c r="AR142" s="2">
        <f t="shared" ca="1" si="189"/>
        <v>43.334931530392204</v>
      </c>
      <c r="AS142" s="2">
        <f t="shared" ca="1" si="189"/>
        <v>43.051671720385016</v>
      </c>
      <c r="AT142" s="2">
        <f t="shared" ca="1" si="189"/>
        <v>42.73925303344226</v>
      </c>
      <c r="AU142" s="2">
        <f t="shared" ca="1" si="189"/>
        <v>42.503945298057332</v>
      </c>
      <c r="AV142" s="2">
        <f t="shared" ca="1" si="189"/>
        <v>42.187144290682681</v>
      </c>
      <c r="AW142" s="2">
        <f t="shared" ca="1" si="189"/>
        <v>41.878389324960956</v>
      </c>
      <c r="AX142" s="2">
        <f t="shared" ca="1" si="189"/>
        <v>41.587764328871621</v>
      </c>
      <c r="AY142" s="2">
        <f t="shared" ca="1" si="189"/>
        <v>41.294940155692792</v>
      </c>
      <c r="AZ142" s="2">
        <f t="shared" ca="1" si="189"/>
        <v>41.002626998935526</v>
      </c>
      <c r="BA142" s="2">
        <f t="shared" ca="1" si="189"/>
        <v>40.727201577923147</v>
      </c>
      <c r="BB142" s="2">
        <f t="shared" ca="1" si="189"/>
        <v>40.414016686259558</v>
      </c>
      <c r="BC142" s="2">
        <f t="shared" ca="1" si="189"/>
        <v>40.118503314713266</v>
      </c>
      <c r="BD142" s="2">
        <f t="shared" ca="1" si="189"/>
        <v>39.819252256485257</v>
      </c>
      <c r="BE142" s="2">
        <f t="shared" ca="1" si="189"/>
        <v>39.520567847661134</v>
      </c>
    </row>
    <row r="143" spans="2:57" x14ac:dyDescent="0.2">
      <c r="B143" s="4"/>
    </row>
    <row r="144" spans="2:57" x14ac:dyDescent="0.2">
      <c r="B144" t="s">
        <v>402</v>
      </c>
      <c r="AB144" s="1">
        <f>SUMIFS('[2]Resumo Capex'!$17:$17,'[2]Resumo Capex'!$15:$15,AB$3)</f>
        <v>2213433.7957281922</v>
      </c>
      <c r="AC144" s="1">
        <f>SUMIFS('[2]Resumo Capex'!$17:$17,'[2]Resumo Capex'!$15:$15,AC$3)</f>
        <v>1150130.8214603937</v>
      </c>
      <c r="AD144" s="1">
        <f>SUMIFS('[2]Resumo Capex'!$17:$17,'[2]Resumo Capex'!$15:$15,AD$3)</f>
        <v>1022586.7199087691</v>
      </c>
      <c r="AE144" s="1">
        <f>SUMIFS('[2]Resumo Capex'!$17:$17,'[2]Resumo Capex'!$15:$15,AE$3)</f>
        <v>1270883.7090662422</v>
      </c>
      <c r="AF144" s="1">
        <f>SUMIFS('[2]Resumo Capex'!$17:$17,'[2]Resumo Capex'!$15:$15,AF$3)</f>
        <v>764425.99038118788</v>
      </c>
      <c r="AG144" s="1">
        <f>SUMIFS('[2]Resumo Capex'!$17:$17,'[2]Resumo Capex'!$15:$15,AG$3)</f>
        <v>456337.99185360671</v>
      </c>
      <c r="AH144" s="1">
        <f>SUMIFS('[2]Resumo Capex'!$17:$17,'[2]Resumo Capex'!$15:$15,AH$3)</f>
        <v>454488.06901107967</v>
      </c>
      <c r="AI144" s="1">
        <f>SUMIFS('[2]Resumo Capex'!$17:$17,'[2]Resumo Capex'!$15:$15,AI$3)</f>
        <v>449830.16432602552</v>
      </c>
      <c r="AJ144" s="1">
        <f>SUMIFS('[2]Resumo Capex'!$17:$17,'[2]Resumo Capex'!$15:$15,AJ$3)</f>
        <v>445108.74864097132</v>
      </c>
      <c r="AK144" s="1">
        <f>SUMIFS('[2]Resumo Capex'!$17:$17,'[2]Resumo Capex'!$15:$15,AK$3)</f>
        <v>438029.32211339002</v>
      </c>
      <c r="AL144" s="1">
        <f>SUMIFS('[2]Resumo Capex'!$17:$17,'[2]Resumo Capex'!$15:$15,AL$3)</f>
        <v>404035.06819912494</v>
      </c>
      <c r="AM144" s="1">
        <f>SUMIFS('[2]Resumo Capex'!$17:$17,'[2]Resumo Capex'!$15:$15,AM$3)</f>
        <v>396955.64167154359</v>
      </c>
      <c r="AN144" s="1">
        <f>SUMIFS('[2]Resumo Capex'!$17:$17,'[2]Resumo Capex'!$15:$15,AN$3)</f>
        <v>392170.71498648939</v>
      </c>
      <c r="AO144" s="1">
        <f>SUMIFS('[2]Resumo Capex'!$17:$17,'[2]Resumo Capex'!$15:$15,AO$3)</f>
        <v>389658.56214396236</v>
      </c>
      <c r="AP144" s="1">
        <f>SUMIFS('[2]Resumo Capex'!$17:$17,'[2]Resumo Capex'!$15:$15,AP$3)</f>
        <v>384810.12445890828</v>
      </c>
      <c r="AQ144" s="1">
        <f>SUMIFS('[2]Resumo Capex'!$17:$17,'[2]Resumo Capex'!$15:$15,AQ$3)</f>
        <v>141790.38832296027</v>
      </c>
      <c r="AR144" s="1">
        <f>SUMIFS('[2]Resumo Capex'!$17:$17,'[2]Resumo Capex'!$15:$15,AR$3)</f>
        <v>136856.71363790613</v>
      </c>
      <c r="AS144" s="1">
        <f>SUMIFS('[2]Resumo Capex'!$17:$17,'[2]Resumo Capex'!$15:$15,AS$3)</f>
        <v>136898.49863790613</v>
      </c>
      <c r="AT144" s="1">
        <f>SUMIFS('[2]Resumo Capex'!$17:$17,'[2]Resumo Capex'!$15:$15,AT$3)</f>
        <v>126969.30526779783</v>
      </c>
      <c r="AU144" s="1">
        <f>SUMIFS('[2]Resumo Capex'!$17:$17,'[2]Resumo Capex'!$15:$15,AU$3)</f>
        <v>477974.79642527073</v>
      </c>
      <c r="AV144" s="1">
        <f>SUMIFS('[2]Resumo Capex'!$17:$17,'[2]Resumo Capex'!$15:$15,AV$3)</f>
        <v>122035.63058274367</v>
      </c>
      <c r="AW144" s="1">
        <f>SUMIFS('[2]Resumo Capex'!$17:$17,'[2]Resumo Capex'!$15:$15,AW$3)</f>
        <v>114723.88605516245</v>
      </c>
      <c r="AX144" s="1">
        <f>SUMIFS('[2]Resumo Capex'!$17:$17,'[2]Resumo Capex'!$15:$15,AX$3)</f>
        <v>111957.68921263538</v>
      </c>
      <c r="AY144" s="1">
        <f>SUMIFS('[2]Resumo Capex'!$17:$17,'[2]Resumo Capex'!$15:$15,AY$3)</f>
        <v>106918.71852758122</v>
      </c>
      <c r="AZ144" s="1">
        <f>SUMIFS('[2]Resumo Capex'!$17:$17,'[2]Resumo Capex'!$15:$15,AZ$3)</f>
        <v>101816.23684252707</v>
      </c>
      <c r="BA144" s="1">
        <f>SUMIFS('[2]Resumo Capex'!$17:$17,'[2]Resumo Capex'!$15:$15,BA$3)</f>
        <v>104560.70768505415</v>
      </c>
      <c r="BB144" s="1">
        <f>SUMIFS('[2]Resumo Capex'!$17:$17,'[2]Resumo Capex'!$15:$15,BB$3)</f>
        <v>99458.225999999995</v>
      </c>
      <c r="BC144" s="1">
        <f>SUMIFS('[2]Resumo Capex'!$17:$17,'[2]Resumo Capex'!$15:$15,BC$3)</f>
        <v>99458.225999999995</v>
      </c>
      <c r="BD144" s="1">
        <f>SUMIFS('[2]Resumo Capex'!$17:$17,'[2]Resumo Capex'!$15:$15,BD$3)</f>
        <v>99458.225999999995</v>
      </c>
      <c r="BE144" s="1">
        <f>SUMIFS('[2]Resumo Capex'!$17:$17,'[2]Resumo Capex'!$15:$15,BE$3)</f>
        <v>99458.225999999995</v>
      </c>
    </row>
    <row r="145" spans="2:57" x14ac:dyDescent="0.2">
      <c r="B145" t="s">
        <v>403</v>
      </c>
      <c r="AB145" s="1">
        <f>SUMIFS('[2]Resumo Capex'!$26:$26,'[2]Resumo Capex'!$15:$15,AB$3)</f>
        <v>1096652.4379078702</v>
      </c>
      <c r="AC145" s="1">
        <f>SUMIFS('[2]Resumo Capex'!$26:$26,'[2]Resumo Capex'!$15:$15,AC$3)</f>
        <v>593135.6038087873</v>
      </c>
      <c r="AD145" s="1">
        <f>SUMIFS('[2]Resumo Capex'!$26:$26,'[2]Resumo Capex'!$15:$15,AD$3)</f>
        <v>385886.29428045242</v>
      </c>
      <c r="AE145" s="1">
        <f>SUMIFS('[2]Resumo Capex'!$26:$26,'[2]Resumo Capex'!$15:$15,AE$3)</f>
        <v>384383.66388177604</v>
      </c>
      <c r="AF145" s="1">
        <f>SUMIFS('[2]Resumo Capex'!$26:$26,'[2]Resumo Capex'!$15:$15,AF$3)</f>
        <v>1325273.2815507574</v>
      </c>
      <c r="AG145" s="1">
        <f>SUMIFS('[2]Resumo Capex'!$26:$26,'[2]Resumo Capex'!$15:$15,AG$3)</f>
        <v>369678.75942524691</v>
      </c>
      <c r="AH145" s="1">
        <f>SUMIFS('[2]Resumo Capex'!$26:$26,'[2]Resumo Capex'!$15:$15,AH$3)</f>
        <v>367906.32057971985</v>
      </c>
      <c r="AI145" s="1">
        <f>SUMIFS('[2]Resumo Capex'!$26:$26,'[2]Resumo Capex'!$15:$15,AI$3)</f>
        <v>362176.89423078403</v>
      </c>
      <c r="AJ145" s="1">
        <f>SUMIFS('[2]Resumo Capex'!$26:$26,'[2]Resumo Capex'!$15:$15,AJ$3)</f>
        <v>356357.53173289809</v>
      </c>
      <c r="AK145" s="1">
        <f>SUMIFS('[2]Resumo Capex'!$26:$26,'[2]Resumo Capex'!$15:$15,AK$3)</f>
        <v>1990088.1903523789</v>
      </c>
      <c r="AL145" s="1">
        <f>SUMIFS('[2]Resumo Capex'!$26:$26,'[2]Resumo Capex'!$15:$15,AL$3)</f>
        <v>344710.25329027529</v>
      </c>
      <c r="AM145" s="1">
        <f>SUMIFS('[2]Resumo Capex'!$26:$26,'[2]Resumo Capex'!$15:$15,AM$3)</f>
        <v>334972.09801430267</v>
      </c>
      <c r="AN145" s="1">
        <f>SUMIFS('[2]Resumo Capex'!$26:$26,'[2]Resumo Capex'!$15:$15,AN$3)</f>
        <v>332398.78727507428</v>
      </c>
      <c r="AO145" s="1">
        <f>SUMIFS('[2]Resumo Capex'!$26:$26,'[2]Resumo Capex'!$15:$15,AO$3)</f>
        <v>326131.52413013473</v>
      </c>
      <c r="AP145" s="1">
        <f>SUMIFS('[2]Resumo Capex'!$26:$26,'[2]Resumo Capex'!$15:$15,AP$3)</f>
        <v>323684.56416748092</v>
      </c>
      <c r="AQ145" s="1">
        <f>SUMIFS('[2]Resumo Capex'!$26:$26,'[2]Resumo Capex'!$15:$15,AQ$3)</f>
        <v>313631.63237018249</v>
      </c>
      <c r="AR145" s="1">
        <f>SUMIFS('[2]Resumo Capex'!$26:$26,'[2]Resumo Capex'!$15:$15,AR$3)</f>
        <v>314394.30953856185</v>
      </c>
      <c r="AS145" s="1">
        <f>SUMIFS('[2]Resumo Capex'!$26:$26,'[2]Resumo Capex'!$15:$15,AS$3)</f>
        <v>300555.70908890443</v>
      </c>
      <c r="AT145" s="1">
        <f>SUMIFS('[2]Resumo Capex'!$26:$26,'[2]Resumo Capex'!$15:$15,AT$3)</f>
        <v>293838.76519921375</v>
      </c>
      <c r="AU145" s="1">
        <f>SUMIFS('[2]Resumo Capex'!$26:$26,'[2]Resumo Capex'!$15:$15,AU$3)</f>
        <v>294331.63392074232</v>
      </c>
      <c r="AV145" s="1">
        <f>SUMIFS('[2]Resumo Capex'!$26:$26,'[2]Resumo Capex'!$15:$15,AV$3)</f>
        <v>283873.98945316783</v>
      </c>
      <c r="AW145" s="1">
        <f>SUMIFS('[2]Resumo Capex'!$26:$26,'[2]Resumo Capex'!$15:$15,AW$3)</f>
        <v>276932.20519110165</v>
      </c>
      <c r="AX145" s="1">
        <f>SUMIFS('[2]Resumo Capex'!$26:$26,'[2]Resumo Capex'!$15:$15,AX$3)</f>
        <v>273551.24920901872</v>
      </c>
      <c r="AY145" s="1">
        <f>SUMIFS('[2]Resumo Capex'!$26:$26,'[2]Resumo Capex'!$15:$15,AY$3)</f>
        <v>262823.79629459349</v>
      </c>
      <c r="AZ145" s="1">
        <f>SUMIFS('[2]Resumo Capex'!$26:$26,'[2]Resumo Capex'!$15:$15,AZ$3)</f>
        <v>262913.73244354373</v>
      </c>
      <c r="BA145" s="1">
        <f>SUMIFS('[2]Resumo Capex'!$26:$26,'[2]Resumo Capex'!$15:$15,BA$3)</f>
        <v>263264.92359249387</v>
      </c>
      <c r="BB145" s="1">
        <f>SUMIFS('[2]Resumo Capex'!$26:$26,'[2]Resumo Capex'!$15:$15,BB$3)</f>
        <v>255792.07588357694</v>
      </c>
      <c r="BC145" s="1">
        <f>SUMIFS('[2]Resumo Capex'!$26:$26,'[2]Resumo Capex'!$15:$15,BC$3)</f>
        <v>255792.07588357694</v>
      </c>
      <c r="BD145" s="1">
        <f>SUMIFS('[2]Resumo Capex'!$26:$26,'[2]Resumo Capex'!$15:$15,BD$3)</f>
        <v>255792.07588357694</v>
      </c>
      <c r="BE145" s="1">
        <f>SUMIFS('[2]Resumo Capex'!$26:$26,'[2]Resumo Capex'!$15:$15,BE$3)</f>
        <v>255792.07588357694</v>
      </c>
    </row>
    <row r="146" spans="2:57" x14ac:dyDescent="0.2">
      <c r="B146" s="121" t="s">
        <v>404</v>
      </c>
      <c r="C146" s="121"/>
      <c r="D146" s="121"/>
      <c r="E146" s="121"/>
      <c r="F146" s="121"/>
      <c r="G146" s="121"/>
      <c r="H146" s="121"/>
      <c r="I146" s="121"/>
      <c r="J146" s="121"/>
      <c r="K146" s="122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4">
        <f>SUMIFS('[2]Resumo Capex'!$33:$33,'[2]Resumo Capex'!$15:$15,AB$3)</f>
        <v>3460491.0161816967</v>
      </c>
      <c r="AC146" s="124">
        <f>SUMIFS('[2]Resumo Capex'!$33:$33,'[2]Resumo Capex'!$15:$15,AC$3)</f>
        <v>880198.73649036069</v>
      </c>
      <c r="AD146" s="124">
        <f>SUMIFS('[2]Resumo Capex'!$33:$33,'[2]Resumo Capex'!$15:$15,AD$3)</f>
        <v>508003.56242176867</v>
      </c>
      <c r="AE146" s="124">
        <f>SUMIFS('[2]Resumo Capex'!$33:$33,'[2]Resumo Capex'!$15:$15,AE$3)</f>
        <v>376681.04534715979</v>
      </c>
      <c r="AF146" s="124">
        <f>SUMIFS('[2]Resumo Capex'!$33:$33,'[2]Resumo Capex'!$15:$15,AF$3)</f>
        <v>666291.41932730423</v>
      </c>
      <c r="AG146" s="124">
        <f>SUMIFS('[2]Resumo Capex'!$33:$33,'[2]Resumo Capex'!$15:$15,AG$3)</f>
        <v>163401.79330744862</v>
      </c>
      <c r="AH146" s="124">
        <f>SUMIFS('[2]Resumo Capex'!$33:$33,'[2]Resumo Capex'!$15:$15,AH$3)</f>
        <v>120745.94289950636</v>
      </c>
      <c r="AI146" s="124">
        <f>SUMIFS('[2]Resumo Capex'!$33:$33,'[2]Resumo Capex'!$15:$15,AI$3)</f>
        <v>120434.24208362188</v>
      </c>
      <c r="AJ146" s="124">
        <f>SUMIFS('[2]Resumo Capex'!$33:$33,'[2]Resumo Capex'!$15:$15,AJ$3)</f>
        <v>323348.77228627756</v>
      </c>
      <c r="AK146" s="124">
        <f>SUMIFS('[2]Resumo Capex'!$33:$33,'[2]Resumo Capex'!$15:$15,AK$3)</f>
        <v>119732.91524788181</v>
      </c>
      <c r="AL146" s="124">
        <f>SUMIFS('[2]Resumo Capex'!$33:$33,'[2]Resumo Capex'!$15:$15,AL$3)</f>
        <v>210785.88621841156</v>
      </c>
      <c r="AM146" s="124">
        <f>SUMIFS('[2]Resumo Capex'!$33:$33,'[2]Resumo Capex'!$15:$15,AM$3)</f>
        <v>67818.334994584846</v>
      </c>
      <c r="AN146" s="124">
        <f>SUMIFS('[2]Resumo Capex'!$33:$33,'[2]Resumo Capex'!$15:$15,AN$3)</f>
        <v>67584.55938267149</v>
      </c>
      <c r="AO146" s="124">
        <f>SUMIFS('[2]Resumo Capex'!$33:$33,'[2]Resumo Capex'!$15:$15,AO$3)</f>
        <v>67350.78377075812</v>
      </c>
      <c r="AP146" s="124">
        <f>SUMIFS('[2]Resumo Capex'!$33:$33,'[2]Resumo Capex'!$15:$15,AP$3)</f>
        <v>67117.008158844765</v>
      </c>
      <c r="AQ146" s="124">
        <f>SUMIFS('[2]Resumo Capex'!$33:$33,'[2]Resumo Capex'!$15:$15,AQ$3)</f>
        <v>288316.1236016847</v>
      </c>
      <c r="AR146" s="124">
        <f>SUMIFS('[2]Resumo Capex'!$33:$33,'[2]Resumo Capex'!$15:$15,AR$3)</f>
        <v>245660.27319374244</v>
      </c>
      <c r="AS146" s="124">
        <f>SUMIFS('[2]Resumo Capex'!$33:$33,'[2]Resumo Capex'!$15:$15,AS$3)</f>
        <v>245348.57237785798</v>
      </c>
      <c r="AT146" s="124">
        <f>SUMIFS('[2]Resumo Capex'!$33:$33,'[2]Resumo Capex'!$15:$15,AT$3)</f>
        <v>65714.354487364617</v>
      </c>
      <c r="AU146" s="124">
        <f>SUMIFS('[2]Resumo Capex'!$33:$33,'[2]Resumo Capex'!$15:$15,AU$3)</f>
        <v>65636.429283393503</v>
      </c>
      <c r="AV146" s="124">
        <f>SUMIFS('[2]Resumo Capex'!$33:$33,'[2]Resumo Capex'!$15:$15,AV$3)</f>
        <v>207824.72846750903</v>
      </c>
      <c r="AW146" s="124">
        <f>SUMIFS('[2]Resumo Capex'!$33:$33,'[2]Resumo Capex'!$15:$15,AW$3)</f>
        <v>64935.102447653429</v>
      </c>
      <c r="AX146" s="124">
        <f>SUMIFS('[2]Resumo Capex'!$33:$33,'[2]Resumo Capex'!$15:$15,AX$3)</f>
        <v>64779.252039711195</v>
      </c>
      <c r="AY146" s="124">
        <f>SUMIFS('[2]Resumo Capex'!$33:$33,'[2]Resumo Capex'!$15:$15,AY$3)</f>
        <v>64389.626019855597</v>
      </c>
      <c r="AZ146" s="124">
        <f>SUMIFS('[2]Resumo Capex'!$33:$33,'[2]Resumo Capex'!$15:$15,AZ$3)</f>
        <v>64233.775611913356</v>
      </c>
      <c r="BA146" s="124">
        <f>SUMIFS('[2]Resumo Capex'!$33:$33,'[2]Resumo Capex'!$15:$15,BA$3)</f>
        <v>106811.70081588448</v>
      </c>
      <c r="BB146" s="124">
        <f>SUMIFS('[2]Resumo Capex'!$33:$33,'[2]Resumo Capex'!$15:$15,BB$3)</f>
        <v>64000</v>
      </c>
      <c r="BC146" s="124">
        <f>SUMIFS('[2]Resumo Capex'!$33:$33,'[2]Resumo Capex'!$15:$15,BC$3)</f>
        <v>64000</v>
      </c>
      <c r="BD146" s="124">
        <f>SUMIFS('[2]Resumo Capex'!$33:$33,'[2]Resumo Capex'!$15:$15,BD$3)</f>
        <v>64000</v>
      </c>
      <c r="BE146" s="124">
        <f>SUMIFS('[2]Resumo Capex'!$33:$33,'[2]Resumo Capex'!$15:$15,BE$3)</f>
        <v>64000</v>
      </c>
    </row>
    <row r="147" spans="2:57" x14ac:dyDescent="0.2">
      <c r="B147" t="s">
        <v>405</v>
      </c>
      <c r="AB147" s="1"/>
      <c r="AC147" s="2">
        <f t="shared" ref="AC147:BE147" si="197">AB144/(AC125-AB125)</f>
        <v>16822.481427983752</v>
      </c>
      <c r="AD147" s="2">
        <f t="shared" si="197"/>
        <v>10931.560004274143</v>
      </c>
      <c r="AE147" s="2">
        <f t="shared" si="197"/>
        <v>9716.4805240479891</v>
      </c>
      <c r="AF147" s="2">
        <f t="shared" si="197"/>
        <v>12076.268020701553</v>
      </c>
      <c r="AG147" s="2">
        <f t="shared" si="197"/>
        <v>7266.5111900467737</v>
      </c>
      <c r="AH147" s="2">
        <f t="shared" si="197"/>
        <v>13287.555614231975</v>
      </c>
      <c r="AI147" s="2">
        <f t="shared" si="197"/>
        <v>13540.002895814514</v>
      </c>
      <c r="AJ147" s="2">
        <f t="shared" si="197"/>
        <v>13724.040437800055</v>
      </c>
      <c r="AK147" s="2">
        <f t="shared" si="197"/>
        <v>13920.540189493919</v>
      </c>
      <c r="AL147" s="2">
        <f t="shared" si="197"/>
        <v>14056.945426465261</v>
      </c>
      <c r="AM147" s="2">
        <f t="shared" si="197"/>
        <v>13318.945549679849</v>
      </c>
      <c r="AN147" s="2">
        <f t="shared" si="197"/>
        <v>13456.966730375179</v>
      </c>
      <c r="AO147" s="2">
        <f t="shared" si="197"/>
        <v>13688.47354604268</v>
      </c>
      <c r="AP147" s="2">
        <f t="shared" si="197"/>
        <v>14021.381001190959</v>
      </c>
      <c r="AQ147" s="2">
        <f t="shared" si="197"/>
        <v>14294.435235299141</v>
      </c>
      <c r="AR147" s="2">
        <f t="shared" si="197"/>
        <v>5445.1214735010908</v>
      </c>
      <c r="AS147" s="2">
        <f t="shared" si="197"/>
        <v>5441.7308406982547</v>
      </c>
      <c r="AT147" s="2">
        <f t="shared" si="197"/>
        <v>5645.4489141793447</v>
      </c>
      <c r="AU147" s="2">
        <f t="shared" si="197"/>
        <v>5440.0251620145327</v>
      </c>
      <c r="AV147" s="2">
        <f t="shared" si="197"/>
        <v>21317.929073507003</v>
      </c>
      <c r="AW147" s="2">
        <f t="shared" si="197"/>
        <v>5677.6728151666903</v>
      </c>
      <c r="AX147" s="2">
        <f t="shared" si="197"/>
        <v>5580.4273938791885</v>
      </c>
      <c r="AY147" s="2">
        <f t="shared" si="197"/>
        <v>5707.8950986885438</v>
      </c>
      <c r="AZ147" s="2">
        <f t="shared" si="197"/>
        <v>5728.8786223385287</v>
      </c>
      <c r="BA147" s="2">
        <f t="shared" si="197"/>
        <v>5750.910812348734</v>
      </c>
      <c r="BB147" s="2">
        <f t="shared" si="197"/>
        <v>6246.6627848422595</v>
      </c>
      <c r="BC147" s="2">
        <f t="shared" si="197"/>
        <v>6308.2666990141124</v>
      </c>
      <c r="BD147" s="2">
        <f t="shared" si="197"/>
        <v>6725.7034700144477</v>
      </c>
      <c r="BE147" s="2">
        <f t="shared" si="197"/>
        <v>7205.3576224458393</v>
      </c>
    </row>
    <row r="148" spans="2:57" x14ac:dyDescent="0.2">
      <c r="B148" t="s">
        <v>408</v>
      </c>
      <c r="AB148" s="1"/>
      <c r="AC148" s="1">
        <f>SUM($AB144:AB144)/AC125</f>
        <v>331.35969954687363</v>
      </c>
      <c r="AD148" s="1">
        <f>SUM($AB144:AC144)/AD125</f>
        <v>495.73070684035997</v>
      </c>
      <c r="AE148" s="1">
        <f>SUM($AB144:AD144)/AE125</f>
        <v>636.56838469195168</v>
      </c>
      <c r="AF148" s="1">
        <f>SUM($AB144:AE144)/AF125</f>
        <v>808.6625533247302</v>
      </c>
      <c r="AG148" s="1">
        <f>SUM($AB144:AF144)/AG125</f>
        <v>904.33646992977094</v>
      </c>
      <c r="AH148" s="1">
        <f>SUM($AB144:AG144)/AH125</f>
        <v>963.94053091040848</v>
      </c>
      <c r="AI148" s="1">
        <f>SUM($AB144:AH144)/AI125</f>
        <v>1022.8263698313547</v>
      </c>
      <c r="AJ148" s="1">
        <f>SUM($AB144:AI144)/AJ125</f>
        <v>1080.6350565167115</v>
      </c>
      <c r="AK148" s="1">
        <f>SUM($AB144:AJ144)/AK125</f>
        <v>1137.3933203393083</v>
      </c>
      <c r="AL148" s="1">
        <f>SUM($AB144:AK144)/AL125</f>
        <v>1192.8112162508621</v>
      </c>
      <c r="AM148" s="1">
        <f>SUM($AB144:AL144)/AM125</f>
        <v>1243.2369460576758</v>
      </c>
      <c r="AN148" s="1">
        <f>SUM($AB144:AM144)/AN125</f>
        <v>1292.4262985480198</v>
      </c>
      <c r="AO148" s="1">
        <f>SUM($AB144:AN144)/AO125</f>
        <v>1340.7250508989246</v>
      </c>
      <c r="AP148" s="1">
        <f>SUM($AB144:AO144)/AP125</f>
        <v>1388.4702174438905</v>
      </c>
      <c r="AQ148" s="1">
        <f>SUM($AB144:AP144)/AQ125</f>
        <v>1435.3713255152149</v>
      </c>
      <c r="AR148" s="1">
        <f>SUM($AB144:AQ144)/AR125</f>
        <v>1449.4171002609569</v>
      </c>
      <c r="AS148" s="1">
        <f>SUM($AB144:AR144)/AS125</f>
        <v>1462.8780619524189</v>
      </c>
      <c r="AT148" s="1">
        <f>SUM($AB144:AS144)/AT125</f>
        <v>1476.4317119127827</v>
      </c>
      <c r="AU148" s="1">
        <f>SUM($AB144:AT144)/AU125</f>
        <v>1488.7555859449969</v>
      </c>
      <c r="AV148" s="1">
        <f>SUM($AB144:AU144)/AV125</f>
        <v>1547.806911448715</v>
      </c>
      <c r="AW148" s="1">
        <f>SUM($AB144:AV144)/AW125</f>
        <v>1559.5634431272335</v>
      </c>
      <c r="AX148" s="1">
        <f>SUM($AB144:AW144)/AX125</f>
        <v>1570.4816636795401</v>
      </c>
      <c r="AY148" s="1">
        <f>SUM($AB144:AX144)/AY125</f>
        <v>1581.1729330209303</v>
      </c>
      <c r="AZ148" s="1">
        <f>SUM($AB144:AY144)/AZ125</f>
        <v>1591.3459078926455</v>
      </c>
      <c r="BA148" s="1">
        <f>SUM($AB144:AZ144)/BA125</f>
        <v>1601.0014117086032</v>
      </c>
      <c r="BB148" s="1">
        <f>SUM($AB144:BA144)/BB125</f>
        <v>1611.1747279311376</v>
      </c>
      <c r="BC148" s="1">
        <f>SUM($AB144:BB144)/BC125</f>
        <v>1620.8432344402299</v>
      </c>
      <c r="BD148" s="1">
        <f>SUM($AB144:BC144)/BD125</f>
        <v>1630.6799215160429</v>
      </c>
      <c r="BE148" s="1">
        <f>SUM($AB144:BD144)/BE125</f>
        <v>1640.6888248590367</v>
      </c>
    </row>
    <row r="149" spans="2:57" x14ac:dyDescent="0.2">
      <c r="B149" t="s">
        <v>406</v>
      </c>
      <c r="AB149" s="1"/>
      <c r="AC149" s="1">
        <f t="shared" ref="AC149:BE149" si="198">AB145/(AC126-AB126)</f>
        <v>17797.153161905462</v>
      </c>
      <c r="AD149" s="1">
        <f t="shared" si="198"/>
        <v>17101.602907929715</v>
      </c>
      <c r="AE149" s="1">
        <f t="shared" si="198"/>
        <v>11351.814818008499</v>
      </c>
      <c r="AF149" s="1">
        <f t="shared" si="198"/>
        <v>11546.141480737737</v>
      </c>
      <c r="AG149" s="1">
        <f t="shared" si="198"/>
        <v>40681.929383692244</v>
      </c>
      <c r="AH149" s="1">
        <f t="shared" si="198"/>
        <v>11403.915034807071</v>
      </c>
      <c r="AI149" s="1">
        <f t="shared" si="198"/>
        <v>11611.933123036661</v>
      </c>
      <c r="AJ149" s="1">
        <f t="shared" si="198"/>
        <v>11706.448560512723</v>
      </c>
      <c r="AK149" s="1">
        <f t="shared" si="198"/>
        <v>11807.199646358382</v>
      </c>
      <c r="AL149" s="1">
        <f t="shared" si="198"/>
        <v>67659.861461437235</v>
      </c>
      <c r="AM149" s="1">
        <f t="shared" si="198"/>
        <v>12038.600154070195</v>
      </c>
      <c r="AN149" s="1">
        <f t="shared" si="198"/>
        <v>12030.532201537102</v>
      </c>
      <c r="AO149" s="1">
        <f t="shared" si="198"/>
        <v>12291.653191727659</v>
      </c>
      <c r="AP149" s="1">
        <f t="shared" si="198"/>
        <v>12432.840250979436</v>
      </c>
      <c r="AQ149" s="1">
        <f t="shared" si="198"/>
        <v>12738.35967289094</v>
      </c>
      <c r="AR149" s="1">
        <f t="shared" si="198"/>
        <v>12760.028540320347</v>
      </c>
      <c r="AS149" s="1">
        <f t="shared" si="198"/>
        <v>13243.922575472239</v>
      </c>
      <c r="AT149" s="1">
        <f t="shared" si="198"/>
        <v>13130.939033102793</v>
      </c>
      <c r="AU149" s="1">
        <f t="shared" si="198"/>
        <v>13337.740453497057</v>
      </c>
      <c r="AV149" s="1">
        <f t="shared" si="198"/>
        <v>13907.464623003583</v>
      </c>
      <c r="AW149" s="1">
        <f t="shared" si="198"/>
        <v>13992.01687162382</v>
      </c>
      <c r="AX149" s="1">
        <f t="shared" si="198"/>
        <v>14271.120821133234</v>
      </c>
      <c r="AY149" s="1">
        <f t="shared" si="198"/>
        <v>14775.1454779819</v>
      </c>
      <c r="AZ149" s="1">
        <f t="shared" si="198"/>
        <v>14919.407172341751</v>
      </c>
      <c r="BA149" s="1">
        <f t="shared" si="198"/>
        <v>15732.721984262074</v>
      </c>
      <c r="BB149" s="1">
        <f t="shared" si="198"/>
        <v>16662.630114031625</v>
      </c>
      <c r="BC149" s="1">
        <f t="shared" si="198"/>
        <v>17188.082531826472</v>
      </c>
      <c r="BD149" s="1">
        <f t="shared" si="198"/>
        <v>18325.469077785267</v>
      </c>
      <c r="BE149" s="1">
        <f t="shared" si="198"/>
        <v>19632.378812593586</v>
      </c>
    </row>
    <row r="150" spans="2:57" x14ac:dyDescent="0.2">
      <c r="B150" t="s">
        <v>407</v>
      </c>
      <c r="AB150" s="1"/>
      <c r="AC150" s="1">
        <f>SUM($AB145:AB145)/AC126</f>
        <v>166.97170262410495</v>
      </c>
      <c r="AD150" s="1">
        <f>SUM($AB145:AC145)/AD126</f>
        <v>255.92856246484456</v>
      </c>
      <c r="AE150" s="1">
        <f>SUM($AB145:AD145)/AE126</f>
        <v>312.76310239158965</v>
      </c>
      <c r="AF150" s="1">
        <f>SUM($AB145:AE145)/AF126</f>
        <v>368.8319489494238</v>
      </c>
      <c r="AG150" s="1">
        <f>SUM($AB145:AF145)/AG126</f>
        <v>564.76931656991712</v>
      </c>
      <c r="AH150" s="1">
        <f>SUM($AB145:AG145)/AH126</f>
        <v>616.94129986757889</v>
      </c>
      <c r="AI150" s="1">
        <f>SUM($AB145:AH145)/AI126</f>
        <v>668.42397374832331</v>
      </c>
      <c r="AJ150" s="1">
        <f>SUM($AB145:AI145)/AJ126</f>
        <v>718.66276994110058</v>
      </c>
      <c r="AK150" s="1">
        <f>SUM($AB145:AJ145)/AK126</f>
        <v>767.67918360773217</v>
      </c>
      <c r="AL150" s="1">
        <f>SUM($AB145:AK145)/AL126</f>
        <v>1054.6104923960286</v>
      </c>
      <c r="AM150" s="1">
        <f>SUM($AB145:AL145)/AM126</f>
        <v>1100.286688919228</v>
      </c>
      <c r="AN150" s="1">
        <f>SUM($AB145:AM145)/AN126</f>
        <v>1144.3069602712706</v>
      </c>
      <c r="AO150" s="1">
        <f>SUM($AB145:AN145)/AO126</f>
        <v>1187.7403954827807</v>
      </c>
      <c r="AP150" s="1">
        <f>SUM($AB145:AO145)/AP126</f>
        <v>1230.0804106618143</v>
      </c>
      <c r="AQ150" s="1">
        <f>SUM($AB145:AP145)/AQ126</f>
        <v>1271.9022386805668</v>
      </c>
      <c r="AR150" s="1">
        <f>SUM($AB145:AQ145)/AR126</f>
        <v>1312.1440563321019</v>
      </c>
      <c r="AS150" s="1">
        <f>SUM($AB145:AR145)/AS126</f>
        <v>1352.3746654473973</v>
      </c>
      <c r="AT150" s="1">
        <f>SUM($AB145:AS145)/AT126</f>
        <v>1390.5431852681252</v>
      </c>
      <c r="AU150" s="1">
        <f>SUM($AB145:AT145)/AU126</f>
        <v>1427.6902226788081</v>
      </c>
      <c r="AV150" s="1">
        <f>SUM($AB145:AU145)/AV126</f>
        <v>1464.8550203335765</v>
      </c>
      <c r="AW150" s="1">
        <f>SUM($AB145:AV145)/AW126</f>
        <v>1500.5162206195323</v>
      </c>
      <c r="AX150" s="1">
        <f>SUM($AB145:AW145)/AX126</f>
        <v>1535.193414208396</v>
      </c>
      <c r="AY150" s="1">
        <f>SUM($AB145:AX145)/AY126</f>
        <v>1569.4060680329178</v>
      </c>
      <c r="AZ150" s="1">
        <f>SUM($AB145:AY145)/AZ126</f>
        <v>1602.1492846312631</v>
      </c>
      <c r="BA150" s="1">
        <f>SUM($AB145:AZ145)/BA126</f>
        <v>1634.9502630405143</v>
      </c>
      <c r="BB150" s="1">
        <f>SUM($AB145:BA145)/BB126</f>
        <v>1667.8586751988512</v>
      </c>
      <c r="BC150" s="1">
        <f>SUM($AB145:BB145)/BC126</f>
        <v>1699.8055449438302</v>
      </c>
      <c r="BD150" s="1">
        <f>SUM($AB145:BC145)/BD126</f>
        <v>1731.8419655417222</v>
      </c>
      <c r="BE150" s="1">
        <f>SUM($AB145:BD145)/BE126</f>
        <v>1763.9809971955112</v>
      </c>
    </row>
    <row r="151" spans="2:57" x14ac:dyDescent="0.2">
      <c r="B151" s="4"/>
    </row>
    <row r="152" spans="2:57" x14ac:dyDescent="0.2">
      <c r="B152" s="4" t="s">
        <v>291</v>
      </c>
    </row>
    <row r="153" spans="2:57" x14ac:dyDescent="0.2">
      <c r="B153" s="4"/>
    </row>
    <row r="154" spans="2:57" s="6" customFormat="1" x14ac:dyDescent="0.2">
      <c r="B154" s="18" t="s">
        <v>292</v>
      </c>
      <c r="C154" s="6" t="s">
        <v>293</v>
      </c>
      <c r="K154" s="17">
        <f>SUM(K155:K157)</f>
        <v>96980117.065621153</v>
      </c>
      <c r="L154" s="17">
        <f>SUM(L155:L157)</f>
        <v>252042878.28654549</v>
      </c>
      <c r="AA154" s="6" t="str">
        <f>C154</f>
        <v>Receita Bruta</v>
      </c>
      <c r="AB154" s="17">
        <f>SUM(AB155:AB157)</f>
        <v>7552152.8808450764</v>
      </c>
      <c r="AC154" s="17">
        <f t="shared" ref="AC154:BE154" si="199">SUM(AC155:AC157)</f>
        <v>7691671.520438849</v>
      </c>
      <c r="AD154" s="17">
        <f t="shared" si="199"/>
        <v>7800399.2640958792</v>
      </c>
      <c r="AE154" s="17">
        <f t="shared" si="199"/>
        <v>7908776.8568192804</v>
      </c>
      <c r="AF154" s="17">
        <f t="shared" si="199"/>
        <v>8016764.1022260543</v>
      </c>
      <c r="AG154" s="17">
        <f t="shared" si="199"/>
        <v>8144282.1753516514</v>
      </c>
      <c r="AH154" s="17">
        <f t="shared" si="199"/>
        <v>8190604.6407219544</v>
      </c>
      <c r="AI154" s="17">
        <f t="shared" si="199"/>
        <v>8236036.7188440179</v>
      </c>
      <c r="AJ154" s="17">
        <f t="shared" si="199"/>
        <v>8280560.7996395323</v>
      </c>
      <c r="AK154" s="17">
        <f t="shared" si="199"/>
        <v>8324159.5588750318</v>
      </c>
      <c r="AL154" s="17">
        <f t="shared" si="199"/>
        <v>8366815.9693570845</v>
      </c>
      <c r="AM154" s="17">
        <f t="shared" si="199"/>
        <v>8408513.311979061</v>
      </c>
      <c r="AN154" s="17">
        <f t="shared" ref="AN154" si="200">SUM(AN155:AN157)</f>
        <v>8449235.1866094396</v>
      </c>
      <c r="AO154" s="17">
        <f t="shared" si="199"/>
        <v>8488965.5228117742</v>
      </c>
      <c r="AP154" s="17">
        <f t="shared" si="199"/>
        <v>8527688.5903865602</v>
      </c>
      <c r="AQ154" s="17">
        <f t="shared" si="199"/>
        <v>8565389.0097253043</v>
      </c>
      <c r="AR154" s="17">
        <f t="shared" si="199"/>
        <v>8581521.80549483</v>
      </c>
      <c r="AS154" s="17">
        <f t="shared" si="199"/>
        <v>8596530.474192882</v>
      </c>
      <c r="AT154" s="17">
        <f t="shared" si="199"/>
        <v>8610408.8601658586</v>
      </c>
      <c r="AU154" s="17">
        <f t="shared" si="199"/>
        <v>8623151.2523530144</v>
      </c>
      <c r="AV154" s="17">
        <f t="shared" si="199"/>
        <v>8634752.3881971799</v>
      </c>
      <c r="AW154" s="17">
        <f t="shared" si="199"/>
        <v>8645207.4572611656</v>
      </c>
      <c r="AX154" s="17">
        <f t="shared" si="199"/>
        <v>8654512.1045463737</v>
      </c>
      <c r="AY154" s="17">
        <f t="shared" si="199"/>
        <v>8662662.4335103594</v>
      </c>
      <c r="AZ154" s="17">
        <f t="shared" si="199"/>
        <v>8669655.0087805092</v>
      </c>
      <c r="BA154" s="17">
        <f t="shared" si="199"/>
        <v>8675486.8585611489</v>
      </c>
      <c r="BB154" s="17">
        <f t="shared" si="199"/>
        <v>8680155.4767317008</v>
      </c>
      <c r="BC154" s="17">
        <f t="shared" si="199"/>
        <v>8683658.8246338945</v>
      </c>
      <c r="BD154" s="17">
        <f t="shared" si="199"/>
        <v>8685995.3325461615</v>
      </c>
      <c r="BE154" s="17">
        <f t="shared" si="199"/>
        <v>8687163.9008438252</v>
      </c>
    </row>
    <row r="155" spans="2:57" ht="14" customHeight="1" x14ac:dyDescent="0.2">
      <c r="B155" s="16"/>
      <c r="C155" t="s">
        <v>274</v>
      </c>
      <c r="G155" s="120"/>
      <c r="H155" s="109"/>
      <c r="K155" s="5">
        <f>NPV($F$220,AB155:BE155)</f>
        <v>49805893.079180449</v>
      </c>
      <c r="L155" s="1">
        <f t="shared" ref="L155:L157" si="201">SUM(AB155:BE155)</f>
        <v>128645647.56686911</v>
      </c>
      <c r="AB155" s="5">
        <f t="shared" ref="AB155:BE155" si="202">AB115</f>
        <v>3925235.3850546144</v>
      </c>
      <c r="AC155" s="5">
        <f t="shared" si="202"/>
        <v>3997750.2704983624</v>
      </c>
      <c r="AD155" s="5">
        <f t="shared" si="202"/>
        <v>4054261.5717754052</v>
      </c>
      <c r="AE155" s="5">
        <f t="shared" si="202"/>
        <v>4110590.8819227032</v>
      </c>
      <c r="AF155" s="5">
        <f t="shared" si="202"/>
        <v>4166717.3088493007</v>
      </c>
      <c r="AG155" s="5">
        <f t="shared" si="202"/>
        <v>4222619.9061495177</v>
      </c>
      <c r="AH155" s="5">
        <f t="shared" si="202"/>
        <v>4236254.0458877897</v>
      </c>
      <c r="AI155" s="5">
        <f t="shared" si="202"/>
        <v>4249362.2845818102</v>
      </c>
      <c r="AJ155" s="5">
        <f t="shared" si="202"/>
        <v>4261939.397156788</v>
      </c>
      <c r="AK155" s="5">
        <f t="shared" si="202"/>
        <v>4273980.3560318034</v>
      </c>
      <c r="AL155" s="5">
        <f t="shared" si="202"/>
        <v>4285480.3344630254</v>
      </c>
      <c r="AM155" s="5">
        <f t="shared" si="202"/>
        <v>4296434.7097626189</v>
      </c>
      <c r="AN155" s="5">
        <f t="shared" ref="AN155" si="203">AN115</f>
        <v>4306839.0663903542</v>
      </c>
      <c r="AO155" s="5">
        <f t="shared" si="202"/>
        <v>4316689.1989150112</v>
      </c>
      <c r="AP155" s="5">
        <f t="shared" si="202"/>
        <v>4325981.1148428414</v>
      </c>
      <c r="AQ155" s="5">
        <f t="shared" si="202"/>
        <v>4334711.0373103768</v>
      </c>
      <c r="AR155" s="5">
        <f t="shared" si="202"/>
        <v>4342875.4076390835</v>
      </c>
      <c r="AS155" s="5">
        <f t="shared" si="202"/>
        <v>4350470.8877494335</v>
      </c>
      <c r="AT155" s="5">
        <f t="shared" si="202"/>
        <v>4357494.3624321148</v>
      </c>
      <c r="AU155" s="5">
        <f t="shared" si="202"/>
        <v>4363942.9414741984</v>
      </c>
      <c r="AV155" s="5">
        <f t="shared" si="202"/>
        <v>4369813.9616382476</v>
      </c>
      <c r="AW155" s="5">
        <f t="shared" si="202"/>
        <v>4375104.9884924935</v>
      </c>
      <c r="AX155" s="5">
        <f t="shared" si="202"/>
        <v>4379813.8180902693</v>
      </c>
      <c r="AY155" s="5">
        <f t="shared" si="202"/>
        <v>4383938.4784971457</v>
      </c>
      <c r="AZ155" s="5">
        <f t="shared" si="202"/>
        <v>4387477.2311642254</v>
      </c>
      <c r="BA155" s="5">
        <f t="shared" si="202"/>
        <v>4390428.57214633</v>
      </c>
      <c r="BB155" s="5">
        <f t="shared" si="202"/>
        <v>4392791.2331638159</v>
      </c>
      <c r="BC155" s="5">
        <f t="shared" si="202"/>
        <v>4394564.1825070316</v>
      </c>
      <c r="BD155" s="5">
        <f t="shared" si="202"/>
        <v>4395746.6257824702</v>
      </c>
      <c r="BE155" s="5">
        <f t="shared" si="202"/>
        <v>4396338.0064999117</v>
      </c>
    </row>
    <row r="156" spans="2:57" ht="14" customHeight="1" x14ac:dyDescent="0.2">
      <c r="B156" s="16"/>
      <c r="C156" t="s">
        <v>275</v>
      </c>
      <c r="G156" s="120"/>
      <c r="H156" s="109"/>
      <c r="K156" s="5">
        <f>NPV($F$220,AB156:BE156)</f>
        <v>43444219.483916827</v>
      </c>
      <c r="L156" s="1">
        <f t="shared" si="201"/>
        <v>113703273.86250156</v>
      </c>
      <c r="AB156" s="5">
        <f t="shared" ref="AB156:BE156" si="204">AB116</f>
        <v>3336450.0772964214</v>
      </c>
      <c r="AC156" s="5">
        <f t="shared" si="204"/>
        <v>3398087.7299236078</v>
      </c>
      <c r="AD156" s="5">
        <f t="shared" si="204"/>
        <v>3446122.3360090945</v>
      </c>
      <c r="AE156" s="5">
        <f t="shared" si="204"/>
        <v>3494002.2496342976</v>
      </c>
      <c r="AF156" s="5">
        <f t="shared" si="204"/>
        <v>3541709.7125219051</v>
      </c>
      <c r="AG156" s="5">
        <f t="shared" si="204"/>
        <v>3608420.6470732247</v>
      </c>
      <c r="AH156" s="5">
        <f t="shared" si="204"/>
        <v>3639327.3394217822</v>
      </c>
      <c r="AI156" s="5">
        <f t="shared" si="204"/>
        <v>3669903.7912297449</v>
      </c>
      <c r="AJ156" s="5">
        <f t="shared" si="204"/>
        <v>3700138.2948043011</v>
      </c>
      <c r="AK156" s="5">
        <f t="shared" si="204"/>
        <v>3730019.2198095736</v>
      </c>
      <c r="AL156" s="5">
        <f t="shared" si="204"/>
        <v>3759535.0206880164</v>
      </c>
      <c r="AM156" s="5">
        <f t="shared" si="204"/>
        <v>3788674.2440634002</v>
      </c>
      <c r="AN156" s="5">
        <f t="shared" ref="AN156" si="205">AN116</f>
        <v>3817425.5361187221</v>
      </c>
      <c r="AO156" s="5">
        <f t="shared" si="204"/>
        <v>3845777.6499424633</v>
      </c>
      <c r="AP156" s="5">
        <f t="shared" si="204"/>
        <v>3873719.4528365433</v>
      </c>
      <c r="AQ156" s="5">
        <f t="shared" si="204"/>
        <v>3901239.9335793396</v>
      </c>
      <c r="AR156" s="5">
        <f t="shared" si="204"/>
        <v>3908587.8668751754</v>
      </c>
      <c r="AS156" s="5">
        <f t="shared" si="204"/>
        <v>3915423.7989744907</v>
      </c>
      <c r="AT156" s="5">
        <f t="shared" si="204"/>
        <v>3921744.9261889039</v>
      </c>
      <c r="AU156" s="5">
        <f t="shared" si="204"/>
        <v>3927548.6473267782</v>
      </c>
      <c r="AV156" s="5">
        <f t="shared" si="204"/>
        <v>3932832.565474424</v>
      </c>
      <c r="AW156" s="5">
        <f t="shared" si="204"/>
        <v>3937594.4896432436</v>
      </c>
      <c r="AX156" s="5">
        <f t="shared" si="204"/>
        <v>3941832.4362812433</v>
      </c>
      <c r="AY156" s="5">
        <f t="shared" si="204"/>
        <v>3945544.6306474311</v>
      </c>
      <c r="AZ156" s="5">
        <f t="shared" si="204"/>
        <v>3948729.5080478033</v>
      </c>
      <c r="BA156" s="5">
        <f t="shared" si="204"/>
        <v>3951385.7149316976</v>
      </c>
      <c r="BB156" s="5">
        <f t="shared" si="204"/>
        <v>3953512.1098474357</v>
      </c>
      <c r="BC156" s="5">
        <f t="shared" si="204"/>
        <v>3955107.7642563288</v>
      </c>
      <c r="BD156" s="5">
        <f t="shared" si="204"/>
        <v>3956171.9632042237</v>
      </c>
      <c r="BE156" s="5">
        <f t="shared" si="204"/>
        <v>3956704.2058499209</v>
      </c>
    </row>
    <row r="157" spans="2:57" ht="14" customHeight="1" x14ac:dyDescent="0.2">
      <c r="B157" s="16"/>
      <c r="C157" t="s">
        <v>276</v>
      </c>
      <c r="G157" s="120"/>
      <c r="H157" s="109"/>
      <c r="K157" s="5">
        <f>NPV($F$220,AB157:BE157)</f>
        <v>3730004.5025238902</v>
      </c>
      <c r="L157" s="1">
        <f t="shared" si="201"/>
        <v>9693956.8571748268</v>
      </c>
      <c r="AB157" s="5">
        <f t="shared" ref="AB157:BE157" si="206">AB117</f>
        <v>290467.41849404143</v>
      </c>
      <c r="AC157" s="5">
        <f t="shared" si="206"/>
        <v>295833.52001687879</v>
      </c>
      <c r="AD157" s="5">
        <f t="shared" si="206"/>
        <v>300015.35631137999</v>
      </c>
      <c r="AE157" s="5">
        <f t="shared" si="206"/>
        <v>304183.72526228003</v>
      </c>
      <c r="AF157" s="5">
        <f t="shared" si="206"/>
        <v>308337.08085484826</v>
      </c>
      <c r="AG157" s="5">
        <f t="shared" si="206"/>
        <v>313241.62212890969</v>
      </c>
      <c r="AH157" s="5">
        <f t="shared" si="206"/>
        <v>315023.25541238289</v>
      </c>
      <c r="AI157" s="5">
        <f t="shared" si="206"/>
        <v>316770.64303246222</v>
      </c>
      <c r="AJ157" s="5">
        <f t="shared" si="206"/>
        <v>318483.1076784436</v>
      </c>
      <c r="AK157" s="5">
        <f t="shared" si="206"/>
        <v>320159.98303365509</v>
      </c>
      <c r="AL157" s="5">
        <f t="shared" si="206"/>
        <v>321800.61420604168</v>
      </c>
      <c r="AM157" s="5">
        <f t="shared" si="206"/>
        <v>323404.35815304081</v>
      </c>
      <c r="AN157" s="5">
        <f t="shared" ref="AN157" si="207">AN117</f>
        <v>324970.58410036302</v>
      </c>
      <c r="AO157" s="5">
        <f t="shared" si="206"/>
        <v>326498.67395429901</v>
      </c>
      <c r="AP157" s="5">
        <f t="shared" si="206"/>
        <v>327988.02270717541</v>
      </c>
      <c r="AQ157" s="5">
        <f t="shared" si="206"/>
        <v>329438.03883558867</v>
      </c>
      <c r="AR157" s="5">
        <f t="shared" si="206"/>
        <v>330058.53098057036</v>
      </c>
      <c r="AS157" s="5">
        <f t="shared" si="206"/>
        <v>330635.78746895696</v>
      </c>
      <c r="AT157" s="5">
        <f t="shared" si="206"/>
        <v>331169.57154484076</v>
      </c>
      <c r="AU157" s="5">
        <f t="shared" si="206"/>
        <v>331659.66355203907</v>
      </c>
      <c r="AV157" s="5">
        <f t="shared" si="206"/>
        <v>332105.86108450691</v>
      </c>
      <c r="AW157" s="5">
        <f t="shared" si="206"/>
        <v>332507.97912542947</v>
      </c>
      <c r="AX157" s="5">
        <f t="shared" si="206"/>
        <v>332865.8501748605</v>
      </c>
      <c r="AY157" s="5">
        <f t="shared" si="206"/>
        <v>333179.32436578308</v>
      </c>
      <c r="AZ157" s="5">
        <f t="shared" si="206"/>
        <v>333448.26956848113</v>
      </c>
      <c r="BA157" s="5">
        <f t="shared" si="206"/>
        <v>333672.57148312114</v>
      </c>
      <c r="BB157" s="5">
        <f t="shared" si="206"/>
        <v>333852.13372045005</v>
      </c>
      <c r="BC157" s="5">
        <f t="shared" si="206"/>
        <v>333986.87787053443</v>
      </c>
      <c r="BD157" s="5">
        <f t="shared" si="206"/>
        <v>334076.74355946778</v>
      </c>
      <c r="BE157" s="5">
        <f t="shared" si="206"/>
        <v>334121.68849399331</v>
      </c>
    </row>
    <row r="158" spans="2:57" x14ac:dyDescent="0.2">
      <c r="B158" s="16"/>
      <c r="K158"/>
    </row>
    <row r="159" spans="2:57" x14ac:dyDescent="0.2">
      <c r="B159" s="16" t="s">
        <v>294</v>
      </c>
      <c r="C159" t="s">
        <v>295</v>
      </c>
      <c r="K159" s="1">
        <f>SUM(K160:K162)</f>
        <v>-5520406.6637353599</v>
      </c>
      <c r="L159" s="1">
        <f>SUM(L160:L162)</f>
        <v>-14347056.148618747</v>
      </c>
      <c r="AB159" s="1">
        <f>SUM(AB160:AB162)</f>
        <v>-429891.77937118127</v>
      </c>
      <c r="AC159" s="1">
        <f t="shared" ref="AC159:BE159" si="208">SUM(AC160:AC162)</f>
        <v>-437833.6096249806</v>
      </c>
      <c r="AD159" s="1">
        <f t="shared" si="208"/>
        <v>-444022.72734084236</v>
      </c>
      <c r="AE159" s="1">
        <f t="shared" si="208"/>
        <v>-450191.91338817443</v>
      </c>
      <c r="AF159" s="1">
        <f t="shared" si="208"/>
        <v>-456338.87966517539</v>
      </c>
      <c r="AG159" s="1">
        <f t="shared" si="208"/>
        <v>-463597.60075078631</v>
      </c>
      <c r="AH159" s="1">
        <f t="shared" si="208"/>
        <v>-466234.41801032663</v>
      </c>
      <c r="AI159" s="1">
        <f t="shared" si="208"/>
        <v>-468820.5516880441</v>
      </c>
      <c r="AJ159" s="1">
        <f t="shared" si="208"/>
        <v>-471354.99936409644</v>
      </c>
      <c r="AK159" s="1">
        <f t="shared" si="208"/>
        <v>-473836.77488980955</v>
      </c>
      <c r="AL159" s="1">
        <f t="shared" si="208"/>
        <v>-476264.90902494173</v>
      </c>
      <c r="AM159" s="1">
        <f t="shared" si="208"/>
        <v>-478638.4500665004</v>
      </c>
      <c r="AN159" s="1">
        <f t="shared" ref="AN159" si="209">SUM(AN160:AN162)</f>
        <v>-480956.46446853731</v>
      </c>
      <c r="AO159" s="1">
        <f t="shared" si="208"/>
        <v>-483218.03745236254</v>
      </c>
      <c r="AP159" s="1">
        <f t="shared" si="208"/>
        <v>-485422.27360661962</v>
      </c>
      <c r="AQ159" s="1">
        <f t="shared" si="208"/>
        <v>-487568.29747667117</v>
      </c>
      <c r="AR159" s="1">
        <f t="shared" si="208"/>
        <v>-488486.6258512442</v>
      </c>
      <c r="AS159" s="1">
        <f t="shared" si="208"/>
        <v>-489340.96545405634</v>
      </c>
      <c r="AT159" s="1">
        <f t="shared" si="208"/>
        <v>-490130.96588636428</v>
      </c>
      <c r="AU159" s="1">
        <f t="shared" si="208"/>
        <v>-490856.30205701775</v>
      </c>
      <c r="AV159" s="1">
        <f t="shared" si="208"/>
        <v>-491516.67440507025</v>
      </c>
      <c r="AW159" s="1">
        <f t="shared" si="208"/>
        <v>-492111.80910563556</v>
      </c>
      <c r="AX159" s="1">
        <f t="shared" si="208"/>
        <v>-492641.45825879357</v>
      </c>
      <c r="AY159" s="1">
        <f t="shared" si="208"/>
        <v>-493105.40006135893</v>
      </c>
      <c r="AZ159" s="1">
        <f t="shared" si="208"/>
        <v>-493503.43896135211</v>
      </c>
      <c r="BA159" s="1">
        <f t="shared" si="208"/>
        <v>-493835.40579501924</v>
      </c>
      <c r="BB159" s="1">
        <f t="shared" si="208"/>
        <v>-494101.15790626605</v>
      </c>
      <c r="BC159" s="1">
        <f t="shared" si="208"/>
        <v>-494300.57924839092</v>
      </c>
      <c r="BD159" s="1">
        <f t="shared" si="208"/>
        <v>-494433.58046801231</v>
      </c>
      <c r="BE159" s="1">
        <f t="shared" si="208"/>
        <v>-494500.09897111007</v>
      </c>
    </row>
    <row r="160" spans="2:57" x14ac:dyDescent="0.2">
      <c r="B160" s="16"/>
      <c r="C160" t="s">
        <v>296</v>
      </c>
      <c r="G160" s="28">
        <v>5.5E-2</v>
      </c>
      <c r="K160" s="5">
        <f>NPV($F$220,AB160:BE160)</f>
        <v>-5333906.4386091651</v>
      </c>
      <c r="L160" s="1">
        <f t="shared" ref="L160:L161" si="210">SUM(AB160:BE160)</f>
        <v>-13862358.305760005</v>
      </c>
      <c r="AB160" s="1">
        <f t="shared" ref="AB160:BE160" si="211">-$G160*AB$154</f>
        <v>-415368.40844647918</v>
      </c>
      <c r="AC160" s="1">
        <f t="shared" si="211"/>
        <v>-423041.93362413667</v>
      </c>
      <c r="AD160" s="1">
        <f t="shared" si="211"/>
        <v>-429021.95952527336</v>
      </c>
      <c r="AE160" s="1">
        <f t="shared" si="211"/>
        <v>-434982.72712506045</v>
      </c>
      <c r="AF160" s="1">
        <f t="shared" si="211"/>
        <v>-440922.02562243299</v>
      </c>
      <c r="AG160" s="1">
        <f t="shared" si="211"/>
        <v>-447935.51964434085</v>
      </c>
      <c r="AH160" s="1">
        <f t="shared" si="211"/>
        <v>-450483.25523970748</v>
      </c>
      <c r="AI160" s="1">
        <f t="shared" si="211"/>
        <v>-452982.01953642099</v>
      </c>
      <c r="AJ160" s="1">
        <f t="shared" si="211"/>
        <v>-455430.84398017428</v>
      </c>
      <c r="AK160" s="1">
        <f t="shared" si="211"/>
        <v>-457828.77573812677</v>
      </c>
      <c r="AL160" s="1">
        <f t="shared" si="211"/>
        <v>-460174.87831463967</v>
      </c>
      <c r="AM160" s="1">
        <f t="shared" si="211"/>
        <v>-462468.23215884838</v>
      </c>
      <c r="AN160" s="1">
        <f t="shared" si="211"/>
        <v>-464707.93526351918</v>
      </c>
      <c r="AO160" s="1">
        <f t="shared" si="211"/>
        <v>-466893.1037546476</v>
      </c>
      <c r="AP160" s="1">
        <f t="shared" si="211"/>
        <v>-469022.87247126084</v>
      </c>
      <c r="AQ160" s="1">
        <f t="shared" si="211"/>
        <v>-471096.39553489175</v>
      </c>
      <c r="AR160" s="1">
        <f t="shared" si="211"/>
        <v>-471983.69930221565</v>
      </c>
      <c r="AS160" s="1">
        <f t="shared" si="211"/>
        <v>-472809.17608060851</v>
      </c>
      <c r="AT160" s="1">
        <f t="shared" si="211"/>
        <v>-473572.48730912223</v>
      </c>
      <c r="AU160" s="1">
        <f t="shared" si="211"/>
        <v>-474273.3188794158</v>
      </c>
      <c r="AV160" s="1">
        <f t="shared" si="211"/>
        <v>-474911.38135084492</v>
      </c>
      <c r="AW160" s="1">
        <f t="shared" si="211"/>
        <v>-475486.41014936409</v>
      </c>
      <c r="AX160" s="1">
        <f t="shared" si="211"/>
        <v>-475998.16575005057</v>
      </c>
      <c r="AY160" s="1">
        <f t="shared" si="211"/>
        <v>-476446.43384306977</v>
      </c>
      <c r="AZ160" s="1">
        <f t="shared" si="211"/>
        <v>-476831.02548292803</v>
      </c>
      <c r="BA160" s="1">
        <f t="shared" si="211"/>
        <v>-477151.77722086321</v>
      </c>
      <c r="BB160" s="1">
        <f t="shared" si="211"/>
        <v>-477408.55122024356</v>
      </c>
      <c r="BC160" s="1">
        <f t="shared" si="211"/>
        <v>-477601.23535486421</v>
      </c>
      <c r="BD160" s="1">
        <f t="shared" si="211"/>
        <v>-477729.7432900389</v>
      </c>
      <c r="BE160" s="1">
        <f t="shared" si="211"/>
        <v>-477794.01454641041</v>
      </c>
    </row>
    <row r="161" spans="2:57" x14ac:dyDescent="0.2">
      <c r="B161" s="16"/>
      <c r="C161" t="s">
        <v>297</v>
      </c>
      <c r="G161" s="28">
        <v>0.05</v>
      </c>
      <c r="K161" s="5">
        <f>NPV($F$220,AB161:BE161)</f>
        <v>-186500.22512619453</v>
      </c>
      <c r="L161" s="1">
        <f t="shared" si="210"/>
        <v>-484697.84285874135</v>
      </c>
      <c r="AB161" s="1">
        <f t="shared" ref="AB161:BE161" si="212">-$G161*AB$157</f>
        <v>-14523.370924702072</v>
      </c>
      <c r="AC161" s="1">
        <f t="shared" si="212"/>
        <v>-14791.67600084394</v>
      </c>
      <c r="AD161" s="1">
        <f t="shared" si="212"/>
        <v>-15000.767815569001</v>
      </c>
      <c r="AE161" s="1">
        <f t="shared" si="212"/>
        <v>-15209.186263114003</v>
      </c>
      <c r="AF161" s="1">
        <f t="shared" si="212"/>
        <v>-15416.854042742414</v>
      </c>
      <c r="AG161" s="1">
        <f t="shared" si="212"/>
        <v>-15662.081106445485</v>
      </c>
      <c r="AH161" s="1">
        <f t="shared" si="212"/>
        <v>-15751.162770619145</v>
      </c>
      <c r="AI161" s="1">
        <f t="shared" si="212"/>
        <v>-15838.532151623112</v>
      </c>
      <c r="AJ161" s="1">
        <f t="shared" si="212"/>
        <v>-15924.155383922181</v>
      </c>
      <c r="AK161" s="1">
        <f t="shared" si="212"/>
        <v>-16007.999151682756</v>
      </c>
      <c r="AL161" s="1">
        <f t="shared" si="212"/>
        <v>-16090.030710302084</v>
      </c>
      <c r="AM161" s="1">
        <f t="shared" si="212"/>
        <v>-16170.217907652041</v>
      </c>
      <c r="AN161" s="1">
        <f t="shared" si="212"/>
        <v>-16248.529205018152</v>
      </c>
      <c r="AO161" s="1">
        <f t="shared" si="212"/>
        <v>-16324.933697714951</v>
      </c>
      <c r="AP161" s="1">
        <f t="shared" si="212"/>
        <v>-16399.40113535877</v>
      </c>
      <c r="AQ161" s="1">
        <f t="shared" si="212"/>
        <v>-16471.901941779433</v>
      </c>
      <c r="AR161" s="1">
        <f t="shared" si="212"/>
        <v>-16502.926549028518</v>
      </c>
      <c r="AS161" s="1">
        <f t="shared" si="212"/>
        <v>-16531.789373447849</v>
      </c>
      <c r="AT161" s="1">
        <f t="shared" si="212"/>
        <v>-16558.47857724204</v>
      </c>
      <c r="AU161" s="1">
        <f t="shared" si="212"/>
        <v>-16582.983177601953</v>
      </c>
      <c r="AV161" s="1">
        <f t="shared" si="212"/>
        <v>-16605.293054225345</v>
      </c>
      <c r="AW161" s="1">
        <f t="shared" si="212"/>
        <v>-16625.398956271474</v>
      </c>
      <c r="AX161" s="1">
        <f t="shared" si="212"/>
        <v>-16643.292508743027</v>
      </c>
      <c r="AY161" s="1">
        <f t="shared" si="212"/>
        <v>-16658.966218289155</v>
      </c>
      <c r="AZ161" s="1">
        <f t="shared" si="212"/>
        <v>-16672.413478424056</v>
      </c>
      <c r="BA161" s="1">
        <f t="shared" si="212"/>
        <v>-16683.628574156057</v>
      </c>
      <c r="BB161" s="1">
        <f t="shared" si="212"/>
        <v>-16692.606686022504</v>
      </c>
      <c r="BC161" s="1">
        <f t="shared" si="212"/>
        <v>-16699.343893526722</v>
      </c>
      <c r="BD161" s="1">
        <f t="shared" si="212"/>
        <v>-16703.83717797339</v>
      </c>
      <c r="BE161" s="1">
        <f t="shared" si="212"/>
        <v>-16706.084424699668</v>
      </c>
    </row>
    <row r="162" spans="2:57" x14ac:dyDescent="0.2">
      <c r="B162" s="16"/>
      <c r="G162" s="16"/>
      <c r="K162" s="1"/>
      <c r="L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2:57" s="6" customFormat="1" x14ac:dyDescent="0.2">
      <c r="B163" s="18" t="s">
        <v>292</v>
      </c>
      <c r="C163" s="6" t="s">
        <v>298</v>
      </c>
      <c r="G163" s="18"/>
      <c r="K163" s="17">
        <f>K154+K159</f>
        <v>91459710.401885793</v>
      </c>
      <c r="L163" s="17">
        <f>L154+L159</f>
        <v>237695822.13792673</v>
      </c>
      <c r="AA163" s="6" t="s">
        <v>298</v>
      </c>
      <c r="AB163" s="17">
        <f>AB154+AB159</f>
        <v>7122261.1014738949</v>
      </c>
      <c r="AC163" s="17">
        <f t="shared" ref="AC163:BE163" si="213">AC154+AC159</f>
        <v>7253837.910813868</v>
      </c>
      <c r="AD163" s="17">
        <f t="shared" si="213"/>
        <v>7356376.5367550366</v>
      </c>
      <c r="AE163" s="17">
        <f t="shared" si="213"/>
        <v>7458584.9434311064</v>
      </c>
      <c r="AF163" s="17">
        <f t="shared" si="213"/>
        <v>7560425.2225608788</v>
      </c>
      <c r="AG163" s="17">
        <f t="shared" si="213"/>
        <v>7680684.5746008651</v>
      </c>
      <c r="AH163" s="17">
        <f t="shared" si="213"/>
        <v>7724370.2227116274</v>
      </c>
      <c r="AI163" s="17">
        <f t="shared" si="213"/>
        <v>7767216.1671559736</v>
      </c>
      <c r="AJ163" s="17">
        <f t="shared" si="213"/>
        <v>7809205.8002754357</v>
      </c>
      <c r="AK163" s="17">
        <f t="shared" si="213"/>
        <v>7850322.7839852218</v>
      </c>
      <c r="AL163" s="17">
        <f t="shared" si="213"/>
        <v>7890551.0603321427</v>
      </c>
      <c r="AM163" s="17">
        <f t="shared" si="213"/>
        <v>7929874.8619125606</v>
      </c>
      <c r="AN163" s="17">
        <f t="shared" ref="AN163" si="214">AN154+AN159</f>
        <v>7968278.7221409027</v>
      </c>
      <c r="AO163" s="17">
        <f t="shared" si="213"/>
        <v>8005747.4853594117</v>
      </c>
      <c r="AP163" s="17">
        <f t="shared" si="213"/>
        <v>8042266.3167799404</v>
      </c>
      <c r="AQ163" s="17">
        <f t="shared" si="213"/>
        <v>8077820.7122486327</v>
      </c>
      <c r="AR163" s="17">
        <f t="shared" si="213"/>
        <v>8093035.1796435863</v>
      </c>
      <c r="AS163" s="17">
        <f t="shared" si="213"/>
        <v>8107189.508738826</v>
      </c>
      <c r="AT163" s="17">
        <f t="shared" si="213"/>
        <v>8120277.894279494</v>
      </c>
      <c r="AU163" s="17">
        <f t="shared" si="213"/>
        <v>8132294.9502959969</v>
      </c>
      <c r="AV163" s="17">
        <f t="shared" si="213"/>
        <v>8143235.7137921099</v>
      </c>
      <c r="AW163" s="17">
        <f t="shared" si="213"/>
        <v>8153095.64815553</v>
      </c>
      <c r="AX163" s="17">
        <f t="shared" si="213"/>
        <v>8161870.64628758</v>
      </c>
      <c r="AY163" s="17">
        <f t="shared" si="213"/>
        <v>8169557.0334490007</v>
      </c>
      <c r="AZ163" s="17">
        <f t="shared" si="213"/>
        <v>8176151.569819157</v>
      </c>
      <c r="BA163" s="17">
        <f t="shared" si="213"/>
        <v>8181651.4527661297</v>
      </c>
      <c r="BB163" s="17">
        <f t="shared" si="213"/>
        <v>8186054.3188254349</v>
      </c>
      <c r="BC163" s="17">
        <f t="shared" si="213"/>
        <v>8189358.2453855034</v>
      </c>
      <c r="BD163" s="17">
        <f t="shared" si="213"/>
        <v>8191561.7520781495</v>
      </c>
      <c r="BE163" s="17">
        <f t="shared" si="213"/>
        <v>8192663.8018727154</v>
      </c>
    </row>
    <row r="164" spans="2:57" x14ac:dyDescent="0.2">
      <c r="B164" s="16"/>
      <c r="G164" s="16"/>
      <c r="K164" s="26">
        <f ca="1">K165*-1</f>
        <v>59199065.959049985</v>
      </c>
      <c r="L164" s="26">
        <f ca="1">L165*-1</f>
        <v>150180252.41045222</v>
      </c>
      <c r="AA164" t="s">
        <v>264</v>
      </c>
      <c r="AB164" s="26">
        <f ca="1">AB165*-1</f>
        <v>4984625.9291067198</v>
      </c>
      <c r="AC164" s="26">
        <f t="shared" ref="AC164:BE164" ca="1" si="215">AC165*-1</f>
        <v>4988795.5823909203</v>
      </c>
      <c r="AD164" s="26">
        <f t="shared" ca="1" si="215"/>
        <v>4973685.1131095784</v>
      </c>
      <c r="AE164" s="26">
        <f t="shared" ca="1" si="215"/>
        <v>5097311.5342375077</v>
      </c>
      <c r="AF164" s="26">
        <f t="shared" ca="1" si="215"/>
        <v>5082963.0464642802</v>
      </c>
      <c r="AG164" s="26">
        <f t="shared" ca="1" si="215"/>
        <v>5062362.5462406641</v>
      </c>
      <c r="AH164" s="26">
        <f t="shared" ca="1" si="215"/>
        <v>5045251.0980820581</v>
      </c>
      <c r="AI164" s="26">
        <f t="shared" ca="1" si="215"/>
        <v>5026634.9100881498</v>
      </c>
      <c r="AJ164" s="26">
        <f t="shared" ca="1" si="215"/>
        <v>5007689.0849754782</v>
      </c>
      <c r="AK164" s="26">
        <f t="shared" ca="1" si="215"/>
        <v>4982034.3107110886</v>
      </c>
      <c r="AL164" s="26">
        <f t="shared" ca="1" si="215"/>
        <v>4983947.0308872405</v>
      </c>
      <c r="AM164" s="26">
        <f t="shared" ca="1" si="215"/>
        <v>4988889.038516813</v>
      </c>
      <c r="AN164" s="26">
        <f t="shared" ca="1" si="215"/>
        <v>4992891.3829057207</v>
      </c>
      <c r="AO164" s="26">
        <f t="shared" ca="1" si="215"/>
        <v>4996395.3109471072</v>
      </c>
      <c r="AP164" s="26">
        <f t="shared" ca="1" si="215"/>
        <v>4999756.081546885</v>
      </c>
      <c r="AQ164" s="26">
        <f t="shared" ca="1" si="215"/>
        <v>5001811.8436907493</v>
      </c>
      <c r="AR164" s="26">
        <f t="shared" ca="1" si="215"/>
        <v>5003677.7515649823</v>
      </c>
      <c r="AS164" s="26">
        <f t="shared" ca="1" si="215"/>
        <v>5004752.8791929903</v>
      </c>
      <c r="AT164" s="26">
        <f t="shared" ca="1" si="215"/>
        <v>5005270.644083187</v>
      </c>
      <c r="AU164" s="26">
        <f t="shared" ca="1" si="215"/>
        <v>5006435.7512104362</v>
      </c>
      <c r="AV164" s="26">
        <f t="shared" ca="1" si="215"/>
        <v>5005559.9136995701</v>
      </c>
      <c r="AW164" s="26">
        <f t="shared" ca="1" si="215"/>
        <v>5004317.109495841</v>
      </c>
      <c r="AX164" s="26">
        <f t="shared" ca="1" si="215"/>
        <v>5002496.361247913</v>
      </c>
      <c r="AY164" s="26">
        <f t="shared" ca="1" si="215"/>
        <v>5000516.7827707687</v>
      </c>
      <c r="AZ164" s="26">
        <f t="shared" ca="1" si="215"/>
        <v>4998072.7660072744</v>
      </c>
      <c r="BA164" s="26">
        <f t="shared" ca="1" si="215"/>
        <v>4995789.8107575867</v>
      </c>
      <c r="BB164" s="26">
        <f t="shared" ca="1" si="215"/>
        <v>4991332.0195559338</v>
      </c>
      <c r="BC164" s="26">
        <f t="shared" ca="1" si="215"/>
        <v>4987049.0126500363</v>
      </c>
      <c r="BD164" s="26">
        <f t="shared" ca="1" si="215"/>
        <v>4982601.2138351705</v>
      </c>
      <c r="BE164" s="26">
        <f t="shared" ca="1" si="215"/>
        <v>4977336.550479562</v>
      </c>
    </row>
    <row r="165" spans="2:57" x14ac:dyDescent="0.2">
      <c r="B165" s="16" t="s">
        <v>294</v>
      </c>
      <c r="C165" t="s">
        <v>299</v>
      </c>
      <c r="G165" s="16"/>
      <c r="K165" s="1">
        <f ca="1">SUM(K166:K171)</f>
        <v>-59199065.959049985</v>
      </c>
      <c r="L165" s="1">
        <f ca="1">SUM(L166:L171)</f>
        <v>-150180252.41045222</v>
      </c>
      <c r="AB165" s="1">
        <f ca="1">SUM(AB166:AB171)</f>
        <v>-4984625.9291067198</v>
      </c>
      <c r="AC165" s="1">
        <f t="shared" ref="AC165:BE165" ca="1" si="216">SUM(AC166:AC171)</f>
        <v>-4988795.5823909203</v>
      </c>
      <c r="AD165" s="1">
        <f t="shared" ca="1" si="216"/>
        <v>-4973685.1131095784</v>
      </c>
      <c r="AE165" s="1">
        <f t="shared" ca="1" si="216"/>
        <v>-5097311.5342375077</v>
      </c>
      <c r="AF165" s="1">
        <f t="shared" ca="1" si="216"/>
        <v>-5082963.0464642802</v>
      </c>
      <c r="AG165" s="1">
        <f t="shared" ca="1" si="216"/>
        <v>-5062362.5462406641</v>
      </c>
      <c r="AH165" s="1">
        <f t="shared" ca="1" si="216"/>
        <v>-5045251.0980820581</v>
      </c>
      <c r="AI165" s="1">
        <f t="shared" ca="1" si="216"/>
        <v>-5026634.9100881498</v>
      </c>
      <c r="AJ165" s="1">
        <f t="shared" ca="1" si="216"/>
        <v>-5007689.0849754782</v>
      </c>
      <c r="AK165" s="1">
        <f t="shared" ca="1" si="216"/>
        <v>-4982034.3107110886</v>
      </c>
      <c r="AL165" s="1">
        <f t="shared" ca="1" si="216"/>
        <v>-4983947.0308872405</v>
      </c>
      <c r="AM165" s="1">
        <f t="shared" ca="1" si="216"/>
        <v>-4988889.038516813</v>
      </c>
      <c r="AN165" s="1">
        <f t="shared" ref="AN165" ca="1" si="217">SUM(AN166:AN171)</f>
        <v>-4992891.3829057207</v>
      </c>
      <c r="AO165" s="1">
        <f t="shared" ca="1" si="216"/>
        <v>-4996395.3109471072</v>
      </c>
      <c r="AP165" s="1">
        <f t="shared" ca="1" si="216"/>
        <v>-4999756.081546885</v>
      </c>
      <c r="AQ165" s="1">
        <f t="shared" ca="1" si="216"/>
        <v>-5001811.8436907493</v>
      </c>
      <c r="AR165" s="1">
        <f t="shared" ca="1" si="216"/>
        <v>-5003677.7515649823</v>
      </c>
      <c r="AS165" s="1">
        <f t="shared" ca="1" si="216"/>
        <v>-5004752.8791929903</v>
      </c>
      <c r="AT165" s="1">
        <f t="shared" ca="1" si="216"/>
        <v>-5005270.644083187</v>
      </c>
      <c r="AU165" s="1">
        <f t="shared" ca="1" si="216"/>
        <v>-5006435.7512104362</v>
      </c>
      <c r="AV165" s="1">
        <f t="shared" ca="1" si="216"/>
        <v>-5005559.9136995701</v>
      </c>
      <c r="AW165" s="1">
        <f t="shared" ca="1" si="216"/>
        <v>-5004317.109495841</v>
      </c>
      <c r="AX165" s="1">
        <f t="shared" ca="1" si="216"/>
        <v>-5002496.361247913</v>
      </c>
      <c r="AY165" s="1">
        <f t="shared" ca="1" si="216"/>
        <v>-5000516.7827707687</v>
      </c>
      <c r="AZ165" s="1">
        <f t="shared" ca="1" si="216"/>
        <v>-4998072.7660072744</v>
      </c>
      <c r="BA165" s="1">
        <f t="shared" ca="1" si="216"/>
        <v>-4995789.8107575867</v>
      </c>
      <c r="BB165" s="1">
        <f t="shared" ca="1" si="216"/>
        <v>-4991332.0195559338</v>
      </c>
      <c r="BC165" s="1">
        <f t="shared" ca="1" si="216"/>
        <v>-4987049.0126500363</v>
      </c>
      <c r="BD165" s="1">
        <f t="shared" ca="1" si="216"/>
        <v>-4982601.2138351705</v>
      </c>
      <c r="BE165" s="1">
        <f t="shared" ca="1" si="216"/>
        <v>-4977336.550479562</v>
      </c>
    </row>
    <row r="166" spans="2:57" x14ac:dyDescent="0.2">
      <c r="B166" s="16"/>
      <c r="C166" t="s">
        <v>265</v>
      </c>
      <c r="G166" s="16"/>
      <c r="K166" s="5">
        <f t="shared" ref="K166:K171" si="218">NPV($F$220,AB166:BE166)</f>
        <v>-16763837.977354102</v>
      </c>
      <c r="L166" s="1">
        <f t="shared" ref="L166:L171" si="219">SUM(AB166:BE166)</f>
        <v>-42805307.489995651</v>
      </c>
      <c r="AB166" s="1">
        <f t="shared" ref="AB166:BE166" si="220">-AB79</f>
        <v>-1371216.2441838544</v>
      </c>
      <c r="AC166" s="1">
        <f t="shared" si="220"/>
        <v>-1371216.2441838544</v>
      </c>
      <c r="AD166" s="1">
        <f t="shared" si="220"/>
        <v>-1371216.2441838544</v>
      </c>
      <c r="AE166" s="1">
        <f t="shared" si="220"/>
        <v>-1433024.3984238545</v>
      </c>
      <c r="AF166" s="1">
        <f t="shared" si="220"/>
        <v>-1433024.3984238545</v>
      </c>
      <c r="AG166" s="1">
        <f t="shared" si="220"/>
        <v>-1433024.3984238545</v>
      </c>
      <c r="AH166" s="1">
        <f t="shared" si="220"/>
        <v>-1433024.3984238545</v>
      </c>
      <c r="AI166" s="1">
        <f t="shared" si="220"/>
        <v>-1433024.3984238545</v>
      </c>
      <c r="AJ166" s="1">
        <f t="shared" si="220"/>
        <v>-1433024.3984238545</v>
      </c>
      <c r="AK166" s="1">
        <f t="shared" si="220"/>
        <v>-1433024.3984238545</v>
      </c>
      <c r="AL166" s="1">
        <f t="shared" si="220"/>
        <v>-1433024.3984238545</v>
      </c>
      <c r="AM166" s="1">
        <f t="shared" si="220"/>
        <v>-1433024.3984238545</v>
      </c>
      <c r="AN166" s="1">
        <f t="shared" ref="AN166" si="221">-AN79</f>
        <v>-1433024.3984238545</v>
      </c>
      <c r="AO166" s="1">
        <f t="shared" si="220"/>
        <v>-1433024.3984238545</v>
      </c>
      <c r="AP166" s="1">
        <f t="shared" si="220"/>
        <v>-1433024.3984238545</v>
      </c>
      <c r="AQ166" s="1">
        <f t="shared" si="220"/>
        <v>-1433024.3984238545</v>
      </c>
      <c r="AR166" s="1">
        <f t="shared" si="220"/>
        <v>-1433024.3984238545</v>
      </c>
      <c r="AS166" s="1">
        <f t="shared" si="220"/>
        <v>-1433024.3984238545</v>
      </c>
      <c r="AT166" s="1">
        <f t="shared" si="220"/>
        <v>-1433024.3984238545</v>
      </c>
      <c r="AU166" s="1">
        <f t="shared" si="220"/>
        <v>-1433024.3984238545</v>
      </c>
      <c r="AV166" s="1">
        <f t="shared" si="220"/>
        <v>-1433024.3984238545</v>
      </c>
      <c r="AW166" s="1">
        <f t="shared" si="220"/>
        <v>-1433024.3984238545</v>
      </c>
      <c r="AX166" s="1">
        <f t="shared" si="220"/>
        <v>-1433024.3984238545</v>
      </c>
      <c r="AY166" s="1">
        <f t="shared" si="220"/>
        <v>-1433024.3984238545</v>
      </c>
      <c r="AZ166" s="1">
        <f t="shared" si="220"/>
        <v>-1433024.3984238545</v>
      </c>
      <c r="BA166" s="1">
        <f t="shared" si="220"/>
        <v>-1433024.3984238545</v>
      </c>
      <c r="BB166" s="1">
        <f t="shared" si="220"/>
        <v>-1433024.3984238545</v>
      </c>
      <c r="BC166" s="1">
        <f t="shared" si="220"/>
        <v>-1433024.3984238545</v>
      </c>
      <c r="BD166" s="1">
        <f t="shared" si="220"/>
        <v>-1433024.3984238545</v>
      </c>
      <c r="BE166" s="1">
        <f t="shared" si="220"/>
        <v>-1433024.3984238545</v>
      </c>
    </row>
    <row r="167" spans="2:57" x14ac:dyDescent="0.2">
      <c r="B167" s="16"/>
      <c r="C167" t="s">
        <v>267</v>
      </c>
      <c r="G167" s="16"/>
      <c r="K167" s="5">
        <f t="shared" si="218"/>
        <v>-3198962.9267735663</v>
      </c>
      <c r="L167" s="1">
        <f t="shared" si="219"/>
        <v>-8076805.1224296018</v>
      </c>
      <c r="AB167" s="1">
        <f t="shared" ref="AB167:BE167" si="222">-AB80</f>
        <v>-278829.51154121145</v>
      </c>
      <c r="AC167" s="1">
        <f t="shared" si="222"/>
        <v>-280389.65841745789</v>
      </c>
      <c r="AD167" s="1">
        <f t="shared" si="222"/>
        <v>-278623.52833117853</v>
      </c>
      <c r="AE167" s="1">
        <f t="shared" si="222"/>
        <v>-276691.84043691988</v>
      </c>
      <c r="AF167" s="1">
        <f t="shared" si="222"/>
        <v>-274652.5825637583</v>
      </c>
      <c r="AG167" s="1">
        <f t="shared" si="222"/>
        <v>-272451.91221866349</v>
      </c>
      <c r="AH167" s="1">
        <f t="shared" si="222"/>
        <v>-270263.63345899893</v>
      </c>
      <c r="AI167" s="1">
        <f t="shared" si="222"/>
        <v>-267865.1767709885</v>
      </c>
      <c r="AJ167" s="1">
        <f t="shared" si="222"/>
        <v>-265374.13769008609</v>
      </c>
      <c r="AK167" s="1">
        <f t="shared" si="222"/>
        <v>-261611.73115593896</v>
      </c>
      <c r="AL167" s="1">
        <f t="shared" si="222"/>
        <v>-262567.33707338624</v>
      </c>
      <c r="AM167" s="1">
        <f t="shared" si="222"/>
        <v>-263563.08865362272</v>
      </c>
      <c r="AN167" s="1">
        <f t="shared" ref="AN167" si="223">-AN80</f>
        <v>-264395.8495233822</v>
      </c>
      <c r="AO167" s="1">
        <f t="shared" si="222"/>
        <v>-265169.59413629788</v>
      </c>
      <c r="AP167" s="1">
        <f t="shared" si="222"/>
        <v>-265934.59430840251</v>
      </c>
      <c r="AQ167" s="1">
        <f t="shared" si="222"/>
        <v>-266533.63138440857</v>
      </c>
      <c r="AR167" s="1">
        <f t="shared" si="222"/>
        <v>-267127.77703241451</v>
      </c>
      <c r="AS167" s="1">
        <f t="shared" si="222"/>
        <v>-267605.94141073263</v>
      </c>
      <c r="AT167" s="1">
        <f t="shared" si="222"/>
        <v>-268073.71736742888</v>
      </c>
      <c r="AU167" s="1">
        <f t="shared" si="222"/>
        <v>-268484.89719490317</v>
      </c>
      <c r="AV167" s="1">
        <f t="shared" si="222"/>
        <v>-268781.50305150071</v>
      </c>
      <c r="AW167" s="1">
        <f t="shared" si="222"/>
        <v>-269018.69818125427</v>
      </c>
      <c r="AX167" s="1">
        <f t="shared" si="222"/>
        <v>-269143.97614975303</v>
      </c>
      <c r="AY167" s="1">
        <f t="shared" si="222"/>
        <v>-269259.98300581891</v>
      </c>
      <c r="AZ167" s="1">
        <f t="shared" si="222"/>
        <v>-269319.31483866269</v>
      </c>
      <c r="BA167" s="1">
        <f t="shared" si="222"/>
        <v>-269381.25017350668</v>
      </c>
      <c r="BB167" s="1">
        <f t="shared" si="222"/>
        <v>-269208.5427078408</v>
      </c>
      <c r="BC167" s="1">
        <f t="shared" si="222"/>
        <v>-269038.51763817511</v>
      </c>
      <c r="BD167" s="1">
        <f t="shared" si="222"/>
        <v>-268863.28556450951</v>
      </c>
      <c r="BE167" s="1">
        <f t="shared" si="222"/>
        <v>-268579.91044839984</v>
      </c>
    </row>
    <row r="168" spans="2:57" x14ac:dyDescent="0.2">
      <c r="B168" s="16"/>
      <c r="C168" t="s">
        <v>266</v>
      </c>
      <c r="G168" s="16"/>
      <c r="K168" s="5">
        <f t="shared" si="218"/>
        <v>-17572926.711748812</v>
      </c>
      <c r="L168" s="1">
        <f t="shared" si="219"/>
        <v>-44285207.399999991</v>
      </c>
      <c r="AB168" s="1">
        <f t="shared" ref="AB168:BE168" si="224">-AB81</f>
        <v>-1542091.7999999996</v>
      </c>
      <c r="AC168" s="1">
        <f t="shared" si="224"/>
        <v>-1549427.1599999995</v>
      </c>
      <c r="AD168" s="1">
        <f t="shared" si="224"/>
        <v>-1538059.5599999996</v>
      </c>
      <c r="AE168" s="1">
        <f t="shared" si="224"/>
        <v>-1525735.3199999994</v>
      </c>
      <c r="AF168" s="1">
        <f t="shared" si="224"/>
        <v>-1512811.7999999998</v>
      </c>
      <c r="AG168" s="1">
        <f t="shared" si="224"/>
        <v>-1498972.6799999997</v>
      </c>
      <c r="AH168" s="1">
        <f t="shared" si="224"/>
        <v>-1485230.0399999998</v>
      </c>
      <c r="AI168" s="1">
        <f t="shared" si="224"/>
        <v>-1470282.1199999999</v>
      </c>
      <c r="AJ168" s="1">
        <f t="shared" si="224"/>
        <v>-1454810.5199999998</v>
      </c>
      <c r="AK168" s="1">
        <f t="shared" si="224"/>
        <v>-1431792.84</v>
      </c>
      <c r="AL168" s="1">
        <f t="shared" si="224"/>
        <v>-1436962.5599999996</v>
      </c>
      <c r="AM168" s="1">
        <f t="shared" si="224"/>
        <v>-1442417.1599999995</v>
      </c>
      <c r="AN168" s="1">
        <f t="shared" ref="AN168" si="225">-AN81</f>
        <v>-1446934.2000000004</v>
      </c>
      <c r="AO168" s="1">
        <f t="shared" si="224"/>
        <v>-1451129.2799999996</v>
      </c>
      <c r="AP168" s="1">
        <f t="shared" si="224"/>
        <v>-1455307.4400000004</v>
      </c>
      <c r="AQ168" s="1">
        <f t="shared" si="224"/>
        <v>-1458541.9199999997</v>
      </c>
      <c r="AR168" s="1">
        <f t="shared" si="224"/>
        <v>-1461767.0399999998</v>
      </c>
      <c r="AS168" s="1">
        <f t="shared" si="224"/>
        <v>-1464352.5599999996</v>
      </c>
      <c r="AT168" s="1">
        <f t="shared" si="224"/>
        <v>-1466917.7999999998</v>
      </c>
      <c r="AU168" s="1">
        <f t="shared" si="224"/>
        <v>-1469166.24</v>
      </c>
      <c r="AV168" s="1">
        <f t="shared" si="224"/>
        <v>-1470777.84</v>
      </c>
      <c r="AW168" s="1">
        <f t="shared" si="224"/>
        <v>-1472066.88</v>
      </c>
      <c r="AX168" s="1">
        <f t="shared" si="224"/>
        <v>-1472724.4800000002</v>
      </c>
      <c r="AY168" s="1">
        <f t="shared" si="224"/>
        <v>-1473363.9600000002</v>
      </c>
      <c r="AZ168" s="1">
        <f t="shared" si="224"/>
        <v>-1473686.2799999996</v>
      </c>
      <c r="BA168" s="1">
        <f t="shared" si="224"/>
        <v>-1474013.76</v>
      </c>
      <c r="BB168" s="1">
        <f t="shared" si="224"/>
        <v>-1473057</v>
      </c>
      <c r="BC168" s="1">
        <f t="shared" si="224"/>
        <v>-1472105.3999999997</v>
      </c>
      <c r="BD168" s="1">
        <f t="shared" si="224"/>
        <v>-1471143.8400000005</v>
      </c>
      <c r="BE168" s="1">
        <f t="shared" si="224"/>
        <v>-1469557.9199999997</v>
      </c>
    </row>
    <row r="169" spans="2:57" x14ac:dyDescent="0.2">
      <c r="B169" s="16"/>
      <c r="C169" t="s">
        <v>268</v>
      </c>
      <c r="G169" s="16"/>
      <c r="K169" s="5">
        <f t="shared" si="218"/>
        <v>0</v>
      </c>
      <c r="L169" s="1">
        <f t="shared" si="219"/>
        <v>0</v>
      </c>
      <c r="AB169" s="1">
        <f t="shared" ref="AB169:BE169" si="226">-AB82</f>
        <v>0</v>
      </c>
      <c r="AC169" s="1">
        <f t="shared" si="226"/>
        <v>0</v>
      </c>
      <c r="AD169" s="1">
        <f t="shared" si="226"/>
        <v>0</v>
      </c>
      <c r="AE169" s="1">
        <f t="shared" si="226"/>
        <v>0</v>
      </c>
      <c r="AF169" s="1">
        <f t="shared" si="226"/>
        <v>0</v>
      </c>
      <c r="AG169" s="1">
        <f t="shared" si="226"/>
        <v>0</v>
      </c>
      <c r="AH169" s="1">
        <f t="shared" si="226"/>
        <v>0</v>
      </c>
      <c r="AI169" s="1">
        <f t="shared" si="226"/>
        <v>0</v>
      </c>
      <c r="AJ169" s="1">
        <f t="shared" si="226"/>
        <v>0</v>
      </c>
      <c r="AK169" s="1">
        <f t="shared" si="226"/>
        <v>0</v>
      </c>
      <c r="AL169" s="1">
        <f t="shared" si="226"/>
        <v>0</v>
      </c>
      <c r="AM169" s="1">
        <f t="shared" si="226"/>
        <v>0</v>
      </c>
      <c r="AN169" s="1">
        <f t="shared" ref="AN169" si="227">-AN82</f>
        <v>0</v>
      </c>
      <c r="AO169" s="1">
        <f t="shared" si="226"/>
        <v>0</v>
      </c>
      <c r="AP169" s="1">
        <f t="shared" si="226"/>
        <v>0</v>
      </c>
      <c r="AQ169" s="1">
        <f t="shared" si="226"/>
        <v>0</v>
      </c>
      <c r="AR169" s="1">
        <f t="shared" si="226"/>
        <v>0</v>
      </c>
      <c r="AS169" s="1">
        <f t="shared" si="226"/>
        <v>0</v>
      </c>
      <c r="AT169" s="1">
        <f t="shared" si="226"/>
        <v>0</v>
      </c>
      <c r="AU169" s="1">
        <f t="shared" si="226"/>
        <v>0</v>
      </c>
      <c r="AV169" s="1">
        <f t="shared" si="226"/>
        <v>0</v>
      </c>
      <c r="AW169" s="1">
        <f t="shared" si="226"/>
        <v>0</v>
      </c>
      <c r="AX169" s="1">
        <f t="shared" si="226"/>
        <v>0</v>
      </c>
      <c r="AY169" s="1">
        <f t="shared" si="226"/>
        <v>0</v>
      </c>
      <c r="AZ169" s="1">
        <f t="shared" si="226"/>
        <v>0</v>
      </c>
      <c r="BA169" s="1">
        <f t="shared" si="226"/>
        <v>0</v>
      </c>
      <c r="BB169" s="1">
        <f t="shared" si="226"/>
        <v>0</v>
      </c>
      <c r="BC169" s="1">
        <f t="shared" si="226"/>
        <v>0</v>
      </c>
      <c r="BD169" s="1">
        <f t="shared" si="226"/>
        <v>0</v>
      </c>
      <c r="BE169" s="1">
        <f t="shared" si="226"/>
        <v>0</v>
      </c>
    </row>
    <row r="170" spans="2:57" x14ac:dyDescent="0.2">
      <c r="B170" s="16"/>
      <c r="C170" t="s">
        <v>269</v>
      </c>
      <c r="G170" s="28"/>
      <c r="K170" s="5">
        <f t="shared" si="218"/>
        <v>-14163080.664714376</v>
      </c>
      <c r="L170" s="1">
        <f t="shared" si="219"/>
        <v>-36243686.907520011</v>
      </c>
      <c r="AB170" s="1">
        <f t="shared" ref="AB170:BE170" si="228">-AB83</f>
        <v>-1141348.3113173335</v>
      </c>
      <c r="AC170" s="1">
        <f t="shared" si="228"/>
        <v>-1141348.3113173335</v>
      </c>
      <c r="AD170" s="1">
        <f t="shared" si="228"/>
        <v>-1141348.3113173335</v>
      </c>
      <c r="AE170" s="1">
        <f t="shared" si="228"/>
        <v>-1215542.2953173337</v>
      </c>
      <c r="AF170" s="1">
        <f t="shared" si="228"/>
        <v>-1215542.2953173337</v>
      </c>
      <c r="AG170" s="1">
        <f t="shared" si="228"/>
        <v>-1215542.2953173337</v>
      </c>
      <c r="AH170" s="1">
        <f t="shared" si="228"/>
        <v>-1215542.2953173337</v>
      </c>
      <c r="AI170" s="1">
        <f t="shared" si="228"/>
        <v>-1215542.2953173337</v>
      </c>
      <c r="AJ170" s="1">
        <f t="shared" si="228"/>
        <v>-1215542.2953173337</v>
      </c>
      <c r="AK170" s="1">
        <f t="shared" si="228"/>
        <v>-1215542.2953173337</v>
      </c>
      <c r="AL170" s="1">
        <f t="shared" si="228"/>
        <v>-1215542.2953173337</v>
      </c>
      <c r="AM170" s="1">
        <f t="shared" si="228"/>
        <v>-1215542.2953173337</v>
      </c>
      <c r="AN170" s="1">
        <f t="shared" ref="AN170" si="229">-AN83</f>
        <v>-1215542.2953173337</v>
      </c>
      <c r="AO170" s="1">
        <f t="shared" si="228"/>
        <v>-1215542.2953173337</v>
      </c>
      <c r="AP170" s="1">
        <f t="shared" si="228"/>
        <v>-1215542.2953173337</v>
      </c>
      <c r="AQ170" s="1">
        <f t="shared" si="228"/>
        <v>-1215542.2953173337</v>
      </c>
      <c r="AR170" s="1">
        <f t="shared" si="228"/>
        <v>-1215542.2953173337</v>
      </c>
      <c r="AS170" s="1">
        <f t="shared" si="228"/>
        <v>-1215542.2953173337</v>
      </c>
      <c r="AT170" s="1">
        <f t="shared" si="228"/>
        <v>-1215542.2953173337</v>
      </c>
      <c r="AU170" s="1">
        <f t="shared" si="228"/>
        <v>-1215542.2953173337</v>
      </c>
      <c r="AV170" s="1">
        <f t="shared" si="228"/>
        <v>-1215542.2953173337</v>
      </c>
      <c r="AW170" s="1">
        <f t="shared" si="228"/>
        <v>-1215542.2953173337</v>
      </c>
      <c r="AX170" s="1">
        <f t="shared" si="228"/>
        <v>-1215542.2953173337</v>
      </c>
      <c r="AY170" s="1">
        <f t="shared" si="228"/>
        <v>-1215542.2953173337</v>
      </c>
      <c r="AZ170" s="1">
        <f t="shared" si="228"/>
        <v>-1215542.2953173337</v>
      </c>
      <c r="BA170" s="1">
        <f t="shared" si="228"/>
        <v>-1215542.2953173337</v>
      </c>
      <c r="BB170" s="1">
        <f t="shared" si="228"/>
        <v>-1215542.2953173337</v>
      </c>
      <c r="BC170" s="1">
        <f t="shared" si="228"/>
        <v>-1215542.2953173337</v>
      </c>
      <c r="BD170" s="1">
        <f t="shared" si="228"/>
        <v>-1215542.2953173337</v>
      </c>
      <c r="BE170" s="1">
        <f t="shared" si="228"/>
        <v>-1215542.2953173337</v>
      </c>
    </row>
    <row r="171" spans="2:57" x14ac:dyDescent="0.2">
      <c r="B171" s="16"/>
      <c r="C171" t="s">
        <v>270</v>
      </c>
      <c r="K171" s="5">
        <f t="shared" ca="1" si="218"/>
        <v>-7500257.6784591265</v>
      </c>
      <c r="L171" s="1">
        <f t="shared" ca="1" si="219"/>
        <v>-18769245.490506969</v>
      </c>
      <c r="AB171" s="1">
        <f t="shared" ref="AB171:BE171" ca="1" si="230">-AB84</f>
        <v>-651140.06206432078</v>
      </c>
      <c r="AC171" s="1">
        <f t="shared" ca="1" si="230"/>
        <v>-646414.20847227494</v>
      </c>
      <c r="AD171" s="1">
        <f t="shared" ca="1" si="230"/>
        <v>-644437.4692772124</v>
      </c>
      <c r="AE171" s="1">
        <f t="shared" ca="1" si="230"/>
        <v>-646317.68005939992</v>
      </c>
      <c r="AF171" s="1">
        <f t="shared" ca="1" si="230"/>
        <v>-646931.97015933448</v>
      </c>
      <c r="AG171" s="1">
        <f t="shared" ca="1" si="230"/>
        <v>-642371.26028081274</v>
      </c>
      <c r="AH171" s="1">
        <f t="shared" ca="1" si="230"/>
        <v>-641190.73088187154</v>
      </c>
      <c r="AI171" s="1">
        <f t="shared" ca="1" si="230"/>
        <v>-639920.91957597202</v>
      </c>
      <c r="AJ171" s="1">
        <f t="shared" ca="1" si="230"/>
        <v>-638937.73354420322</v>
      </c>
      <c r="AK171" s="1">
        <f t="shared" ca="1" si="230"/>
        <v>-640063.04581396154</v>
      </c>
      <c r="AL171" s="1">
        <f t="shared" ca="1" si="230"/>
        <v>-635850.44007266685</v>
      </c>
      <c r="AM171" s="1">
        <f t="shared" ca="1" si="230"/>
        <v>-634342.09612200293</v>
      </c>
      <c r="AN171" s="1">
        <f t="shared" ref="AN171" ca="1" si="231">-AN84</f>
        <v>-632994.63964114967</v>
      </c>
      <c r="AO171" s="1">
        <f t="shared" ca="1" si="230"/>
        <v>-631529.74306962057</v>
      </c>
      <c r="AP171" s="1">
        <f t="shared" ca="1" si="230"/>
        <v>-629947.35349729354</v>
      </c>
      <c r="AQ171" s="1">
        <f t="shared" ca="1" si="230"/>
        <v>-628169.59856515331</v>
      </c>
      <c r="AR171" s="1">
        <f t="shared" ca="1" si="230"/>
        <v>-626216.24079137936</v>
      </c>
      <c r="AS171" s="1">
        <f t="shared" ca="1" si="230"/>
        <v>-624227.68404106994</v>
      </c>
      <c r="AT171" s="1">
        <f t="shared" ca="1" si="230"/>
        <v>-621712.4329745695</v>
      </c>
      <c r="AU171" s="1">
        <f t="shared" ca="1" si="230"/>
        <v>-620217.92027434555</v>
      </c>
      <c r="AV171" s="1">
        <f t="shared" ca="1" si="230"/>
        <v>-617433.87690688099</v>
      </c>
      <c r="AW171" s="1">
        <f t="shared" ca="1" si="230"/>
        <v>-614664.83757339837</v>
      </c>
      <c r="AX171" s="1">
        <f t="shared" ca="1" si="230"/>
        <v>-612061.21135697223</v>
      </c>
      <c r="AY171" s="1">
        <f t="shared" ca="1" si="230"/>
        <v>-609326.14602376148</v>
      </c>
      <c r="AZ171" s="1">
        <f t="shared" ca="1" si="230"/>
        <v>-606500.47742742405</v>
      </c>
      <c r="BA171" s="1">
        <f t="shared" ca="1" si="230"/>
        <v>-603828.10684289213</v>
      </c>
      <c r="BB171" s="1">
        <f t="shared" ca="1" si="230"/>
        <v>-600499.78310690494</v>
      </c>
      <c r="BC171" s="1">
        <f t="shared" ca="1" si="230"/>
        <v>-597338.40127067361</v>
      </c>
      <c r="BD171" s="1">
        <f t="shared" ca="1" si="230"/>
        <v>-594027.39452947257</v>
      </c>
      <c r="BE171" s="1">
        <f t="shared" ca="1" si="230"/>
        <v>-590632.02628997434</v>
      </c>
    </row>
    <row r="172" spans="2:57" x14ac:dyDescent="0.2">
      <c r="B172" s="16"/>
      <c r="K172" s="1"/>
      <c r="L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2:57" x14ac:dyDescent="0.2">
      <c r="B173" s="16" t="s">
        <v>294</v>
      </c>
      <c r="C173" t="s">
        <v>413</v>
      </c>
      <c r="G173" s="28">
        <v>2.5000000000000001E-3</v>
      </c>
      <c r="K173" s="5">
        <f t="shared" ref="K173" si="232">NPV($F$220,AB173:BE173)</f>
        <v>-228649.27600471448</v>
      </c>
      <c r="L173" s="1">
        <f t="shared" ref="L173" si="233">SUM(AB173:BE173)</f>
        <v>-594239.55534481676</v>
      </c>
      <c r="AB173" s="1">
        <f>-$G173*AB$163</f>
        <v>-17805.652753684739</v>
      </c>
      <c r="AC173" s="1">
        <f t="shared" ref="AC173:BE173" si="234">-$G173*AC$163</f>
        <v>-18134.594777034672</v>
      </c>
      <c r="AD173" s="1">
        <f t="shared" si="234"/>
        <v>-18390.941341887592</v>
      </c>
      <c r="AE173" s="1">
        <f t="shared" si="234"/>
        <v>-18646.462358577766</v>
      </c>
      <c r="AF173" s="1">
        <f t="shared" si="234"/>
        <v>-18901.063056402196</v>
      </c>
      <c r="AG173" s="1">
        <f t="shared" si="234"/>
        <v>-19201.711436502163</v>
      </c>
      <c r="AH173" s="1">
        <f t="shared" si="234"/>
        <v>-19310.925556779068</v>
      </c>
      <c r="AI173" s="1">
        <f t="shared" si="234"/>
        <v>-19418.040417889933</v>
      </c>
      <c r="AJ173" s="1">
        <f t="shared" si="234"/>
        <v>-19523.01450068859</v>
      </c>
      <c r="AK173" s="1">
        <f t="shared" si="234"/>
        <v>-19625.806959963054</v>
      </c>
      <c r="AL173" s="1">
        <f t="shared" si="234"/>
        <v>-19726.377650830356</v>
      </c>
      <c r="AM173" s="1">
        <f t="shared" si="234"/>
        <v>-19824.687154781401</v>
      </c>
      <c r="AN173" s="1">
        <f t="shared" si="234"/>
        <v>-19920.696805352258</v>
      </c>
      <c r="AO173" s="1">
        <f t="shared" si="234"/>
        <v>-20014.36871339853</v>
      </c>
      <c r="AP173" s="1">
        <f t="shared" si="234"/>
        <v>-20105.66579194985</v>
      </c>
      <c r="AQ173" s="1">
        <f t="shared" si="234"/>
        <v>-20194.551780621583</v>
      </c>
      <c r="AR173" s="1">
        <f t="shared" si="234"/>
        <v>-20232.587949108965</v>
      </c>
      <c r="AS173" s="1">
        <f t="shared" si="234"/>
        <v>-20267.973771847064</v>
      </c>
      <c r="AT173" s="1">
        <f t="shared" si="234"/>
        <v>-20300.694735698737</v>
      </c>
      <c r="AU173" s="1">
        <f t="shared" si="234"/>
        <v>-20330.737375739991</v>
      </c>
      <c r="AV173" s="1">
        <f t="shared" si="234"/>
        <v>-20358.089284480277</v>
      </c>
      <c r="AW173" s="1">
        <f t="shared" si="234"/>
        <v>-20382.739120388826</v>
      </c>
      <c r="AX173" s="1">
        <f t="shared" si="234"/>
        <v>-20404.676615718952</v>
      </c>
      <c r="AY173" s="1">
        <f t="shared" si="234"/>
        <v>-20423.892583622503</v>
      </c>
      <c r="AZ173" s="1">
        <f t="shared" si="234"/>
        <v>-20440.378924547895</v>
      </c>
      <c r="BA173" s="1">
        <f t="shared" si="234"/>
        <v>-20454.128631915326</v>
      </c>
      <c r="BB173" s="1">
        <f t="shared" si="234"/>
        <v>-20465.135797063587</v>
      </c>
      <c r="BC173" s="1">
        <f t="shared" si="234"/>
        <v>-20473.395613463759</v>
      </c>
      <c r="BD173" s="1">
        <f t="shared" si="234"/>
        <v>-20478.904380195374</v>
      </c>
      <c r="BE173" s="1">
        <f t="shared" si="234"/>
        <v>-20481.659504681789</v>
      </c>
    </row>
    <row r="174" spans="2:57" x14ac:dyDescent="0.2">
      <c r="K174"/>
    </row>
    <row r="175" spans="2:57" x14ac:dyDescent="0.2">
      <c r="B175" s="16" t="s">
        <v>294</v>
      </c>
      <c r="C175" t="s">
        <v>325</v>
      </c>
      <c r="K175" s="5">
        <f t="shared" ref="K175" si="235">NPV($F$220,AB175:BE175)</f>
        <v>-3301463.8705572644</v>
      </c>
      <c r="L175" s="1">
        <f t="shared" ref="L175" si="236">SUM(AB175:BE175)</f>
        <v>-8024338.2129728962</v>
      </c>
      <c r="AB175" s="1">
        <f t="shared" ref="AB175:BE175" si="237">-AB107*(SUM(AB155:AB157))</f>
        <v>-377607.64404225384</v>
      </c>
      <c r="AC175" s="1">
        <f t="shared" si="237"/>
        <v>-353816.88994018704</v>
      </c>
      <c r="AD175" s="1">
        <f t="shared" si="237"/>
        <v>-327616.76909202687</v>
      </c>
      <c r="AE175" s="1">
        <f t="shared" si="237"/>
        <v>-300533.52055913256</v>
      </c>
      <c r="AF175" s="1">
        <f t="shared" si="237"/>
        <v>-272569.97947568574</v>
      </c>
      <c r="AG175" s="1">
        <f t="shared" si="237"/>
        <v>-244328.46526054954</v>
      </c>
      <c r="AH175" s="1">
        <f t="shared" si="237"/>
        <v>-245718.13922165861</v>
      </c>
      <c r="AI175" s="1">
        <f t="shared" si="237"/>
        <v>-247081.10156532054</v>
      </c>
      <c r="AJ175" s="1">
        <f t="shared" si="237"/>
        <v>-248416.82398918597</v>
      </c>
      <c r="AK175" s="1">
        <f t="shared" si="237"/>
        <v>-249724.78676625094</v>
      </c>
      <c r="AL175" s="1">
        <f t="shared" si="237"/>
        <v>-251004.47908071254</v>
      </c>
      <c r="AM175" s="1">
        <f t="shared" si="237"/>
        <v>-252255.39935937183</v>
      </c>
      <c r="AN175" s="1">
        <f t="shared" ref="AN175" si="238">-AN107*(SUM(AN155:AN157))</f>
        <v>-253477.05559828319</v>
      </c>
      <c r="AO175" s="1">
        <f t="shared" si="237"/>
        <v>-254668.96568435323</v>
      </c>
      <c r="AP175" s="1">
        <f t="shared" si="237"/>
        <v>-255830.65771159681</v>
      </c>
      <c r="AQ175" s="1">
        <f t="shared" si="237"/>
        <v>-256961.67029175913</v>
      </c>
      <c r="AR175" s="1">
        <f t="shared" si="237"/>
        <v>-257445.65416484489</v>
      </c>
      <c r="AS175" s="1">
        <f t="shared" si="237"/>
        <v>-257895.91422578646</v>
      </c>
      <c r="AT175" s="1">
        <f t="shared" si="237"/>
        <v>-258312.26580497576</v>
      </c>
      <c r="AU175" s="1">
        <f t="shared" si="237"/>
        <v>-258694.53757059042</v>
      </c>
      <c r="AV175" s="1">
        <f t="shared" si="237"/>
        <v>-259042.57164591539</v>
      </c>
      <c r="AW175" s="1">
        <f t="shared" si="237"/>
        <v>-259356.22371783495</v>
      </c>
      <c r="AX175" s="1">
        <f t="shared" si="237"/>
        <v>-259635.36313639121</v>
      </c>
      <c r="AY175" s="1">
        <f t="shared" si="237"/>
        <v>-259879.87300531077</v>
      </c>
      <c r="AZ175" s="1">
        <f t="shared" si="237"/>
        <v>-260089.65026341527</v>
      </c>
      <c r="BA175" s="1">
        <f t="shared" si="237"/>
        <v>-260264.60575683447</v>
      </c>
      <c r="BB175" s="1">
        <f t="shared" si="237"/>
        <v>-260404.66430195101</v>
      </c>
      <c r="BC175" s="1">
        <f t="shared" si="237"/>
        <v>-260509.76473901683</v>
      </c>
      <c r="BD175" s="1">
        <f t="shared" si="237"/>
        <v>-260579.85997638485</v>
      </c>
      <c r="BE175" s="1">
        <f t="shared" si="237"/>
        <v>-260614.91702531476</v>
      </c>
    </row>
    <row r="176" spans="2:57" x14ac:dyDescent="0.2">
      <c r="K176"/>
    </row>
    <row r="177" spans="2:57" s="6" customFormat="1" x14ac:dyDescent="0.2">
      <c r="B177" s="18" t="s">
        <v>292</v>
      </c>
      <c r="C177" s="6" t="s">
        <v>300</v>
      </c>
      <c r="K177" s="17">
        <f ca="1">K163+K165+K175</f>
        <v>28959180.572278544</v>
      </c>
      <c r="L177" s="17">
        <f ca="1">L163+L165+L175</f>
        <v>79491231.514501616</v>
      </c>
      <c r="AA177" s="6" t="str">
        <f>C177</f>
        <v>EBITDA</v>
      </c>
      <c r="AB177" s="17">
        <f ca="1">AB163+AB165+AB173+AB175</f>
        <v>1742221.8755712365</v>
      </c>
      <c r="AC177" s="17">
        <f t="shared" ref="AC177:BE177" ca="1" si="239">AC163+AC165+AC173+AC175</f>
        <v>1893090.8437057261</v>
      </c>
      <c r="AD177" s="17">
        <f t="shared" ca="1" si="239"/>
        <v>2036683.7132115436</v>
      </c>
      <c r="AE177" s="17">
        <f t="shared" ca="1" si="239"/>
        <v>2042093.4262758885</v>
      </c>
      <c r="AF177" s="17">
        <f t="shared" ca="1" si="239"/>
        <v>2185991.1335645104</v>
      </c>
      <c r="AG177" s="17">
        <f t="shared" ca="1" si="239"/>
        <v>2354791.8516631494</v>
      </c>
      <c r="AH177" s="17">
        <f t="shared" ca="1" si="239"/>
        <v>2414090.0598511319</v>
      </c>
      <c r="AI177" s="17">
        <f t="shared" ca="1" si="239"/>
        <v>2474082.1150846132</v>
      </c>
      <c r="AJ177" s="17">
        <f t="shared" ca="1" si="239"/>
        <v>2533576.8768100827</v>
      </c>
      <c r="AK177" s="17">
        <f t="shared" ca="1" si="239"/>
        <v>2598937.8795479191</v>
      </c>
      <c r="AL177" s="17">
        <f t="shared" ca="1" si="239"/>
        <v>2635873.1727133594</v>
      </c>
      <c r="AM177" s="17">
        <f t="shared" ca="1" si="239"/>
        <v>2668905.7368815942</v>
      </c>
      <c r="AN177" s="17">
        <f t="shared" ref="AN177" ca="1" si="240">AN163+AN165+AN173+AN175</f>
        <v>2701989.5868315464</v>
      </c>
      <c r="AO177" s="17">
        <f t="shared" ca="1" si="239"/>
        <v>2734668.8400145527</v>
      </c>
      <c r="AP177" s="17">
        <f t="shared" ca="1" si="239"/>
        <v>2766573.911729509</v>
      </c>
      <c r="AQ177" s="17">
        <f t="shared" ca="1" si="239"/>
        <v>2798852.6464855028</v>
      </c>
      <c r="AR177" s="17">
        <f t="shared" ca="1" si="239"/>
        <v>2811679.1859646505</v>
      </c>
      <c r="AS177" s="17">
        <f t="shared" ca="1" si="239"/>
        <v>2824272.7415482025</v>
      </c>
      <c r="AT177" s="17">
        <f t="shared" ca="1" si="239"/>
        <v>2836394.2896556323</v>
      </c>
      <c r="AU177" s="17">
        <f t="shared" ca="1" si="239"/>
        <v>2846833.92413923</v>
      </c>
      <c r="AV177" s="17">
        <f t="shared" ca="1" si="239"/>
        <v>2858275.1391621442</v>
      </c>
      <c r="AW177" s="17">
        <f t="shared" ca="1" si="239"/>
        <v>2869039.5758214653</v>
      </c>
      <c r="AX177" s="17">
        <f t="shared" ca="1" si="239"/>
        <v>2879334.2452875571</v>
      </c>
      <c r="AY177" s="17">
        <f t="shared" ca="1" si="239"/>
        <v>2888736.4850892983</v>
      </c>
      <c r="AZ177" s="17">
        <f t="shared" ca="1" si="239"/>
        <v>2897548.7746239197</v>
      </c>
      <c r="BA177" s="17">
        <f t="shared" ca="1" si="239"/>
        <v>2905142.907619793</v>
      </c>
      <c r="BB177" s="17">
        <f t="shared" ca="1" si="239"/>
        <v>2913852.4991704863</v>
      </c>
      <c r="BC177" s="17">
        <f t="shared" ca="1" si="239"/>
        <v>2921326.0723829865</v>
      </c>
      <c r="BD177" s="17">
        <f t="shared" ca="1" si="239"/>
        <v>2927901.7738863989</v>
      </c>
      <c r="BE177" s="17">
        <f t="shared" ca="1" si="239"/>
        <v>2934230.6748631569</v>
      </c>
    </row>
    <row r="178" spans="2:57" s="6" customFormat="1" x14ac:dyDescent="0.2">
      <c r="B178" s="18" t="s">
        <v>313</v>
      </c>
      <c r="C178" s="6" t="s">
        <v>312</v>
      </c>
      <c r="K178" s="20">
        <f t="shared" ref="K178" ca="1" si="241">K177/K$163</f>
        <v>0.31663319777668397</v>
      </c>
      <c r="L178" s="20">
        <f t="shared" ref="L178" ca="1" si="242">L177/L$163</f>
        <v>0.33442418465552831</v>
      </c>
      <c r="AA178" s="6" t="str">
        <f>C178</f>
        <v>Margem EBITDA</v>
      </c>
      <c r="AB178" s="20">
        <f t="shared" ref="AB178:BE178" ca="1" si="243">AB177/AB$163</f>
        <v>0.2446164007116641</v>
      </c>
      <c r="AC178" s="20">
        <f t="shared" ca="1" si="243"/>
        <v>0.26097782539137609</v>
      </c>
      <c r="AD178" s="20">
        <f t="shared" ca="1" si="243"/>
        <v>0.27685963368453986</v>
      </c>
      <c r="AE178" s="20">
        <f t="shared" ca="1" si="243"/>
        <v>0.27379099946758567</v>
      </c>
      <c r="AF178" s="20">
        <f t="shared" ca="1" si="243"/>
        <v>0.28913600349373841</v>
      </c>
      <c r="AG178" s="20">
        <f t="shared" ca="1" si="243"/>
        <v>0.30658619408095128</v>
      </c>
      <c r="AH178" s="20">
        <f t="shared" ca="1" si="243"/>
        <v>0.31252904641378898</v>
      </c>
      <c r="AI178" s="20">
        <f t="shared" ca="1" si="243"/>
        <v>0.31852880901478986</v>
      </c>
      <c r="AJ178" s="20">
        <f t="shared" ca="1" si="243"/>
        <v>0.32443464055214449</v>
      </c>
      <c r="AK178" s="20">
        <f t="shared" ca="1" si="243"/>
        <v>0.33106127621271725</v>
      </c>
      <c r="AL178" s="20">
        <f t="shared" ca="1" si="243"/>
        <v>0.3340543838521724</v>
      </c>
      <c r="AM178" s="20">
        <f t="shared" ca="1" si="243"/>
        <v>0.33656341157417663</v>
      </c>
      <c r="AN178" s="20">
        <f t="shared" ref="AN178" ca="1" si="244">AN177/AN$163</f>
        <v>0.33909325728324685</v>
      </c>
      <c r="AO178" s="20">
        <f t="shared" ca="1" si="243"/>
        <v>0.34158819585748923</v>
      </c>
      <c r="AP178" s="20">
        <f t="shared" ca="1" si="243"/>
        <v>0.34400426481241214</v>
      </c>
      <c r="AQ178" s="20">
        <f t="shared" ca="1" si="243"/>
        <v>0.34648610636300975</v>
      </c>
      <c r="AR178" s="20">
        <f t="shared" ca="1" si="243"/>
        <v>0.34741961743066035</v>
      </c>
      <c r="AS178" s="20">
        <f t="shared" ca="1" si="243"/>
        <v>0.34836643925788202</v>
      </c>
      <c r="AT178" s="20">
        <f t="shared" ca="1" si="243"/>
        <v>0.34929768741705158</v>
      </c>
      <c r="AU178" s="20">
        <f t="shared" ca="1" si="243"/>
        <v>0.3500652572907002</v>
      </c>
      <c r="AV178" s="20">
        <f t="shared" ca="1" si="243"/>
        <v>0.35099992676389247</v>
      </c>
      <c r="AW178" s="20">
        <f t="shared" ca="1" si="243"/>
        <v>0.35189573379658884</v>
      </c>
      <c r="AX178" s="20">
        <f t="shared" ca="1" si="243"/>
        <v>0.35277871582015574</v>
      </c>
      <c r="AY178" s="20">
        <f t="shared" ca="1" si="243"/>
        <v>0.35359768874393177</v>
      </c>
      <c r="AZ178" s="20">
        <f t="shared" ca="1" si="243"/>
        <v>0.35439029595778504</v>
      </c>
      <c r="BA178" s="20">
        <f t="shared" ca="1" si="243"/>
        <v>0.3550802578662276</v>
      </c>
      <c r="BB178" s="20">
        <f t="shared" ca="1" si="243"/>
        <v>0.35595323286207764</v>
      </c>
      <c r="BC178" s="20">
        <f t="shared" ca="1" si="243"/>
        <v>0.35672222228513206</v>
      </c>
      <c r="BD178" s="20">
        <f t="shared" ca="1" si="243"/>
        <v>0.35742900590886811</v>
      </c>
      <c r="BE178" s="20">
        <f t="shared" ca="1" si="243"/>
        <v>0.35815343407506084</v>
      </c>
    </row>
    <row r="179" spans="2:57" x14ac:dyDescent="0.2">
      <c r="K179"/>
    </row>
    <row r="180" spans="2:57" x14ac:dyDescent="0.2">
      <c r="B180" s="16" t="s">
        <v>294</v>
      </c>
      <c r="C180" t="s">
        <v>311</v>
      </c>
      <c r="K180" s="5">
        <f t="shared" ref="K180" si="245">NPV($F$220,AB180:BE180)</f>
        <v>-6468790.20689217</v>
      </c>
      <c r="L180" s="1">
        <f t="shared" ref="L180" si="246">SUM(AB180:BE180)</f>
        <v>-19014602.669537179</v>
      </c>
      <c r="AB180" s="1">
        <f>-AB227/AB10</f>
        <v>-242352.57499392529</v>
      </c>
      <c r="AC180" s="1">
        <f>-AC227/AC10</f>
        <v>-318485.06307815132</v>
      </c>
      <c r="AD180" s="1">
        <f>-AD227/AD10</f>
        <v>-369214.65121318476</v>
      </c>
      <c r="AE180" s="1">
        <f>-AE227/AE10</f>
        <v>-423634.18711337674</v>
      </c>
      <c r="AF180" s="1">
        <f>-AF227/AF10</f>
        <v>-500357.16038288997</v>
      </c>
      <c r="AG180" s="1">
        <f>-AG227/AG10</f>
        <v>-516281.87689659797</v>
      </c>
      <c r="AH180" s="1">
        <f>-AH227/AH10</f>
        <v>-530333.4789387557</v>
      </c>
      <c r="AI180" s="1">
        <f>-AI227/AI10</f>
        <v>-543807.64152445551</v>
      </c>
      <c r="AJ180" s="1">
        <f>-AJ227/AJ10</f>
        <v>-563688.73795852961</v>
      </c>
      <c r="AK180" s="1">
        <f>-AK227/AK10</f>
        <v>-632371.83586075634</v>
      </c>
      <c r="AL180" s="1">
        <f>-AL227/AL10</f>
        <v>-644511.34652375581</v>
      </c>
      <c r="AM180" s="1">
        <f>-AM227/AM10</f>
        <v>-651133.7683054076</v>
      </c>
      <c r="AN180" s="1">
        <f>-AN227/AN10</f>
        <v>-657821.50154915557</v>
      </c>
      <c r="AO180" s="1">
        <f>-AO227/AO10</f>
        <v>-664609.70278184989</v>
      </c>
      <c r="AP180" s="1">
        <f>-AP227/AP10</f>
        <v>-671653.2240067207</v>
      </c>
      <c r="AQ180" s="1">
        <f>-AQ227/AQ10</f>
        <v>-678111.53487301746</v>
      </c>
      <c r="AR180" s="1">
        <f>-AR227/AR10</f>
        <v>-683476.87162362866</v>
      </c>
      <c r="AS180" s="1">
        <f>-AS227/AS10</f>
        <v>-689210.88786844979</v>
      </c>
      <c r="AT180" s="1">
        <f>-AT227/AT10</f>
        <v>-687418.4983697678</v>
      </c>
      <c r="AU180" s="1">
        <f>-AU227/AU10</f>
        <v>-703228.31660594465</v>
      </c>
      <c r="AV180" s="1">
        <f>-AV227/AV10</f>
        <v>-709849.8133445289</v>
      </c>
      <c r="AW180" s="1">
        <f>-AW227/AW10</f>
        <v>-710126.35198542196</v>
      </c>
      <c r="AX180" s="1">
        <f>-AX227/AX10</f>
        <v>-712140.60594553372</v>
      </c>
      <c r="AY180" s="1">
        <f>-AY227/AY10</f>
        <v>-715767.94386820041</v>
      </c>
      <c r="AZ180" s="1">
        <f>-AZ227/AZ10</f>
        <v>-722425.79542836384</v>
      </c>
      <c r="BA180" s="1">
        <f>-BA227/BA10</f>
        <v>-737588.55516789819</v>
      </c>
      <c r="BB180" s="1">
        <f>-BB227/BB10</f>
        <v>-754883.17111977504</v>
      </c>
      <c r="BC180" s="1">
        <f>-BC227/BC10</f>
        <v>-783767.60378419654</v>
      </c>
      <c r="BD180" s="1">
        <f>-BD227/BD10</f>
        <v>-836121.1865966029</v>
      </c>
      <c r="BE180" s="1">
        <f>-BE227/BE10</f>
        <v>-960228.7818283356</v>
      </c>
    </row>
    <row r="181" spans="2:57" x14ac:dyDescent="0.2">
      <c r="B181" s="16"/>
      <c r="K181" s="1"/>
      <c r="L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2:57" s="6" customFormat="1" x14ac:dyDescent="0.2">
      <c r="B182" s="18" t="s">
        <v>292</v>
      </c>
      <c r="C182" s="6" t="s">
        <v>314</v>
      </c>
      <c r="K182" s="17">
        <f ca="1">K177+K180</f>
        <v>22490390.365386374</v>
      </c>
      <c r="L182" s="17">
        <f ca="1">L177+L180</f>
        <v>60476628.844964437</v>
      </c>
      <c r="AB182" s="17">
        <f ca="1">AB177+AB180</f>
        <v>1499869.3005773113</v>
      </c>
      <c r="AC182" s="17">
        <f t="shared" ref="AC182:BE182" ca="1" si="247">AC177+AC180</f>
        <v>1574605.7806275748</v>
      </c>
      <c r="AD182" s="17">
        <f t="shared" ca="1" si="247"/>
        <v>1667469.0619983589</v>
      </c>
      <c r="AE182" s="17">
        <f t="shared" ca="1" si="247"/>
        <v>1618459.2391625117</v>
      </c>
      <c r="AF182" s="17">
        <f t="shared" ca="1" si="247"/>
        <v>1685633.9731816205</v>
      </c>
      <c r="AG182" s="17">
        <f t="shared" ca="1" si="247"/>
        <v>1838509.9747665515</v>
      </c>
      <c r="AH182" s="17">
        <f t="shared" ca="1" si="247"/>
        <v>1883756.5809123763</v>
      </c>
      <c r="AI182" s="17">
        <f t="shared" ca="1" si="247"/>
        <v>1930274.4735601577</v>
      </c>
      <c r="AJ182" s="17">
        <f t="shared" ca="1" si="247"/>
        <v>1969888.1388515532</v>
      </c>
      <c r="AK182" s="17">
        <f t="shared" ca="1" si="247"/>
        <v>1966566.0436871629</v>
      </c>
      <c r="AL182" s="17">
        <f t="shared" ca="1" si="247"/>
        <v>1991361.8261896037</v>
      </c>
      <c r="AM182" s="17">
        <f t="shared" ca="1" si="247"/>
        <v>2017771.9685761866</v>
      </c>
      <c r="AN182" s="17">
        <f t="shared" ref="AN182" ca="1" si="248">AN177+AN180</f>
        <v>2044168.0852823909</v>
      </c>
      <c r="AO182" s="17">
        <f t="shared" ca="1" si="247"/>
        <v>2070059.1372327027</v>
      </c>
      <c r="AP182" s="17">
        <f t="shared" ca="1" si="247"/>
        <v>2094920.6877227882</v>
      </c>
      <c r="AQ182" s="17">
        <f t="shared" ca="1" si="247"/>
        <v>2120741.1116124853</v>
      </c>
      <c r="AR182" s="17">
        <f t="shared" ca="1" si="247"/>
        <v>2128202.3143410217</v>
      </c>
      <c r="AS182" s="17">
        <f t="shared" ca="1" si="247"/>
        <v>2135061.8536797529</v>
      </c>
      <c r="AT182" s="17">
        <f t="shared" ca="1" si="247"/>
        <v>2148975.7912858645</v>
      </c>
      <c r="AU182" s="17">
        <f t="shared" ca="1" si="247"/>
        <v>2143605.6075332854</v>
      </c>
      <c r="AV182" s="17">
        <f t="shared" ca="1" si="247"/>
        <v>2148425.3258176153</v>
      </c>
      <c r="AW182" s="17">
        <f t="shared" ca="1" si="247"/>
        <v>2158913.2238360434</v>
      </c>
      <c r="AX182" s="17">
        <f t="shared" ca="1" si="247"/>
        <v>2167193.6393420235</v>
      </c>
      <c r="AY182" s="17">
        <f t="shared" ca="1" si="247"/>
        <v>2172968.541221098</v>
      </c>
      <c r="AZ182" s="17">
        <f t="shared" ca="1" si="247"/>
        <v>2175122.9791955557</v>
      </c>
      <c r="BA182" s="17">
        <f t="shared" ca="1" si="247"/>
        <v>2167554.3524518949</v>
      </c>
      <c r="BB182" s="17">
        <f t="shared" ca="1" si="247"/>
        <v>2158969.3280507112</v>
      </c>
      <c r="BC182" s="17">
        <f t="shared" ca="1" si="247"/>
        <v>2137558.46859879</v>
      </c>
      <c r="BD182" s="17">
        <f t="shared" ca="1" si="247"/>
        <v>2091780.587289796</v>
      </c>
      <c r="BE182" s="17">
        <f t="shared" ca="1" si="247"/>
        <v>1974001.8930348214</v>
      </c>
    </row>
    <row r="183" spans="2:57" x14ac:dyDescent="0.2">
      <c r="B183" s="16"/>
      <c r="G183" s="16"/>
      <c r="K183" s="1"/>
      <c r="L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2:57" x14ac:dyDescent="0.2">
      <c r="B184" s="16" t="s">
        <v>294</v>
      </c>
      <c r="C184" t="s">
        <v>302</v>
      </c>
      <c r="G184" s="29">
        <v>0.34</v>
      </c>
      <c r="K184" s="5">
        <f t="shared" ref="K184" ca="1" si="249">NPV($F$220,AB184:BE184)</f>
        <v>-7568991.9703897629</v>
      </c>
      <c r="L184" s="1">
        <f t="shared" ref="L184" ca="1" si="250">SUM(AB184:BE184)</f>
        <v>-20360012.358470667</v>
      </c>
      <c r="AB184" s="1">
        <f ca="1">-$G184*AB182</f>
        <v>-509955.56219628587</v>
      </c>
      <c r="AC184" s="1">
        <f t="shared" ref="AC184:BE184" ca="1" si="251">-$G184*AC182</f>
        <v>-535365.96541337541</v>
      </c>
      <c r="AD184" s="1">
        <f t="shared" ca="1" si="251"/>
        <v>-566939.48107944208</v>
      </c>
      <c r="AE184" s="1">
        <f t="shared" ca="1" si="251"/>
        <v>-550276.14131525403</v>
      </c>
      <c r="AF184" s="1">
        <f t="shared" ca="1" si="251"/>
        <v>-573115.550881751</v>
      </c>
      <c r="AG184" s="1">
        <f t="shared" ca="1" si="251"/>
        <v>-625093.39142062759</v>
      </c>
      <c r="AH184" s="1">
        <f t="shared" ca="1" si="251"/>
        <v>-640477.23751020804</v>
      </c>
      <c r="AI184" s="1">
        <f t="shared" ca="1" si="251"/>
        <v>-656293.32101045363</v>
      </c>
      <c r="AJ184" s="1">
        <f t="shared" ca="1" si="251"/>
        <v>-669761.96720952808</v>
      </c>
      <c r="AK184" s="1">
        <f t="shared" ca="1" si="251"/>
        <v>-668632.4548536354</v>
      </c>
      <c r="AL184" s="1">
        <f t="shared" ca="1" si="251"/>
        <v>-677063.02090446535</v>
      </c>
      <c r="AM184" s="1">
        <f t="shared" ca="1" si="251"/>
        <v>-686042.46931590349</v>
      </c>
      <c r="AN184" s="1">
        <f t="shared" ref="AN184" ca="1" si="252">-$G184*AN182</f>
        <v>-695017.14899601298</v>
      </c>
      <c r="AO184" s="1">
        <f t="shared" ca="1" si="251"/>
        <v>-703820.10665911902</v>
      </c>
      <c r="AP184" s="1">
        <f t="shared" ca="1" si="251"/>
        <v>-712273.03382574802</v>
      </c>
      <c r="AQ184" s="1">
        <f t="shared" ca="1" si="251"/>
        <v>-721051.97794824501</v>
      </c>
      <c r="AR184" s="1">
        <f t="shared" ca="1" si="251"/>
        <v>-723588.78687594738</v>
      </c>
      <c r="AS184" s="1">
        <f t="shared" ca="1" si="251"/>
        <v>-725921.03025111603</v>
      </c>
      <c r="AT184" s="1">
        <f t="shared" ca="1" si="251"/>
        <v>-730651.76903719397</v>
      </c>
      <c r="AU184" s="1">
        <f t="shared" ca="1" si="251"/>
        <v>-728825.90656131704</v>
      </c>
      <c r="AV184" s="1">
        <f t="shared" ca="1" si="251"/>
        <v>-730464.61077798926</v>
      </c>
      <c r="AW184" s="1">
        <f t="shared" ca="1" si="251"/>
        <v>-734030.49610425485</v>
      </c>
      <c r="AX184" s="1">
        <f t="shared" ca="1" si="251"/>
        <v>-736845.83737628802</v>
      </c>
      <c r="AY184" s="1">
        <f t="shared" ca="1" si="251"/>
        <v>-738809.30401517334</v>
      </c>
      <c r="AZ184" s="1">
        <f t="shared" ca="1" si="251"/>
        <v>-739541.81292648893</v>
      </c>
      <c r="BA184" s="1">
        <f t="shared" ca="1" si="251"/>
        <v>-736968.47983364435</v>
      </c>
      <c r="BB184" s="1">
        <f t="shared" ca="1" si="251"/>
        <v>-734049.57153724181</v>
      </c>
      <c r="BC184" s="1">
        <f t="shared" ca="1" si="251"/>
        <v>-726769.87932358868</v>
      </c>
      <c r="BD184" s="1">
        <f t="shared" ca="1" si="251"/>
        <v>-711205.39967853064</v>
      </c>
      <c r="BE184" s="1">
        <f t="shared" ca="1" si="251"/>
        <v>-671160.64363183931</v>
      </c>
    </row>
    <row r="185" spans="2:57" x14ac:dyDescent="0.2">
      <c r="G185" s="16"/>
      <c r="K185"/>
    </row>
    <row r="186" spans="2:57" s="6" customFormat="1" x14ac:dyDescent="0.2">
      <c r="B186" s="18" t="s">
        <v>292</v>
      </c>
      <c r="C186" s="6" t="s">
        <v>315</v>
      </c>
      <c r="K186" s="17">
        <f ca="1">K182+K184</f>
        <v>14921398.394996611</v>
      </c>
      <c r="L186" s="17">
        <f ca="1">L182+L184</f>
        <v>40116616.486493766</v>
      </c>
      <c r="AB186" s="17">
        <f ca="1">AB182+AB184</f>
        <v>989913.73838102538</v>
      </c>
      <c r="AC186" s="17">
        <f t="shared" ref="AC186:BE186" ca="1" si="253">AC182+AC184</f>
        <v>1039239.8152141994</v>
      </c>
      <c r="AD186" s="17">
        <f t="shared" ca="1" si="253"/>
        <v>1100529.580918917</v>
      </c>
      <c r="AE186" s="17">
        <f t="shared" ca="1" si="253"/>
        <v>1068183.0978472577</v>
      </c>
      <c r="AF186" s="17">
        <f t="shared" ca="1" si="253"/>
        <v>1112518.4222998694</v>
      </c>
      <c r="AG186" s="17">
        <f t="shared" ca="1" si="253"/>
        <v>1213416.583345924</v>
      </c>
      <c r="AH186" s="17">
        <f t="shared" ca="1" si="253"/>
        <v>1243279.3434021682</v>
      </c>
      <c r="AI186" s="17">
        <f t="shared" ca="1" si="253"/>
        <v>1273981.1525497041</v>
      </c>
      <c r="AJ186" s="17">
        <f t="shared" ca="1" si="253"/>
        <v>1300126.171642025</v>
      </c>
      <c r="AK186" s="17">
        <f t="shared" ca="1" si="253"/>
        <v>1297933.5888335276</v>
      </c>
      <c r="AL186" s="17">
        <f t="shared" ca="1" si="253"/>
        <v>1314298.8052851383</v>
      </c>
      <c r="AM186" s="17">
        <f t="shared" ca="1" si="253"/>
        <v>1331729.4992602831</v>
      </c>
      <c r="AN186" s="17">
        <f t="shared" ref="AN186" ca="1" si="254">AN182+AN184</f>
        <v>1349150.936286378</v>
      </c>
      <c r="AO186" s="17">
        <f t="shared" ca="1" si="253"/>
        <v>1366239.0305735837</v>
      </c>
      <c r="AP186" s="17">
        <f t="shared" ca="1" si="253"/>
        <v>1382647.6538970401</v>
      </c>
      <c r="AQ186" s="17">
        <f t="shared" ca="1" si="253"/>
        <v>1399689.1336642401</v>
      </c>
      <c r="AR186" s="17">
        <f t="shared" ca="1" si="253"/>
        <v>1404613.5274650743</v>
      </c>
      <c r="AS186" s="17">
        <f t="shared" ca="1" si="253"/>
        <v>1409140.8234286369</v>
      </c>
      <c r="AT186" s="17">
        <f t="shared" ca="1" si="253"/>
        <v>1418324.0222486705</v>
      </c>
      <c r="AU186" s="17">
        <f t="shared" ca="1" si="253"/>
        <v>1414779.7009719685</v>
      </c>
      <c r="AV186" s="17">
        <f t="shared" ca="1" si="253"/>
        <v>1417960.715039626</v>
      </c>
      <c r="AW186" s="17">
        <f t="shared" ca="1" si="253"/>
        <v>1424882.7277317885</v>
      </c>
      <c r="AX186" s="17">
        <f t="shared" ca="1" si="253"/>
        <v>1430347.8019657354</v>
      </c>
      <c r="AY186" s="17">
        <f t="shared" ca="1" si="253"/>
        <v>1434159.2372059247</v>
      </c>
      <c r="AZ186" s="17">
        <f t="shared" ca="1" si="253"/>
        <v>1435581.1662690667</v>
      </c>
      <c r="BA186" s="17">
        <f t="shared" ca="1" si="253"/>
        <v>1430585.8726182505</v>
      </c>
      <c r="BB186" s="17">
        <f t="shared" ca="1" si="253"/>
        <v>1424919.7565134694</v>
      </c>
      <c r="BC186" s="17">
        <f t="shared" ca="1" si="253"/>
        <v>1410788.5892752013</v>
      </c>
      <c r="BD186" s="17">
        <f t="shared" ca="1" si="253"/>
        <v>1380575.1876112653</v>
      </c>
      <c r="BE186" s="17">
        <f t="shared" ca="1" si="253"/>
        <v>1302841.2494029822</v>
      </c>
    </row>
    <row r="187" spans="2:57" s="6" customFormat="1" x14ac:dyDescent="0.2">
      <c r="B187" s="18" t="s">
        <v>313</v>
      </c>
      <c r="C187" s="6" t="s">
        <v>316</v>
      </c>
      <c r="K187" s="20">
        <f t="shared" ref="K187" ca="1" si="255">K186/K$163</f>
        <v>0.16314722985049981</v>
      </c>
      <c r="L187" s="20">
        <f t="shared" ref="L187" ca="1" si="256">L186/L$163</f>
        <v>0.16877291374189771</v>
      </c>
      <c r="AB187" s="20">
        <f t="shared" ref="AB187:BE187" ca="1" si="257">AB186/AB$163</f>
        <v>0.13898868972609985</v>
      </c>
      <c r="AC187" s="20">
        <f t="shared" ca="1" si="257"/>
        <v>0.14326758165700432</v>
      </c>
      <c r="AD187" s="20">
        <f t="shared" ca="1" si="257"/>
        <v>0.14960212754476138</v>
      </c>
      <c r="AE187" s="20">
        <f t="shared" ca="1" si="257"/>
        <v>0.14321524872999181</v>
      </c>
      <c r="AF187" s="20">
        <f t="shared" ca="1" si="257"/>
        <v>0.14715024480105041</v>
      </c>
      <c r="AG187" s="20">
        <f t="shared" ca="1" si="257"/>
        <v>0.15798286878731516</v>
      </c>
      <c r="AH187" s="20">
        <f t="shared" ca="1" si="257"/>
        <v>0.16095543164756765</v>
      </c>
      <c r="AI187" s="20">
        <f t="shared" ca="1" si="257"/>
        <v>0.16402030343082136</v>
      </c>
      <c r="AJ187" s="20">
        <f t="shared" ca="1" si="257"/>
        <v>0.16648635019916733</v>
      </c>
      <c r="AK187" s="20">
        <f t="shared" ca="1" si="257"/>
        <v>0.16533506004126761</v>
      </c>
      <c r="AL187" s="20">
        <f t="shared" ca="1" si="257"/>
        <v>0.16656616188601339</v>
      </c>
      <c r="AM187" s="20">
        <f t="shared" ca="1" si="257"/>
        <v>0.16793827424145391</v>
      </c>
      <c r="AN187" s="20">
        <f t="shared" ref="AN187" ca="1" si="258">AN186/AN$163</f>
        <v>0.16931522896376427</v>
      </c>
      <c r="AO187" s="20">
        <f t="shared" ca="1" si="257"/>
        <v>0.17065727254976584</v>
      </c>
      <c r="AP187" s="20">
        <f t="shared" ca="1" si="257"/>
        <v>0.17192263964352789</v>
      </c>
      <c r="AQ187" s="20">
        <f t="shared" ca="1" si="257"/>
        <v>0.17327558799885853</v>
      </c>
      <c r="AR187" s="20">
        <f t="shared" ca="1" si="257"/>
        <v>0.17355831233726737</v>
      </c>
      <c r="AS187" s="20">
        <f t="shared" ca="1" si="257"/>
        <v>0.17381372692838978</v>
      </c>
      <c r="AT187" s="20">
        <f t="shared" ca="1" si="257"/>
        <v>0.17466446847192749</v>
      </c>
      <c r="AU187" s="20">
        <f t="shared" ca="1" si="257"/>
        <v>0.17397053471609189</v>
      </c>
      <c r="AV187" s="20">
        <f t="shared" ca="1" si="257"/>
        <v>0.17412743102082154</v>
      </c>
      <c r="AW187" s="20">
        <f t="shared" ca="1" si="257"/>
        <v>0.174765854495297</v>
      </c>
      <c r="AX187" s="20">
        <f t="shared" ca="1" si="257"/>
        <v>0.17524754605322346</v>
      </c>
      <c r="AY187" s="20">
        <f t="shared" ca="1" si="257"/>
        <v>0.17554920436126209</v>
      </c>
      <c r="AZ187" s="20">
        <f t="shared" ca="1" si="257"/>
        <v>0.17558152561264462</v>
      </c>
      <c r="BA187" s="20">
        <f t="shared" ca="1" si="257"/>
        <v>0.17485294758365497</v>
      </c>
      <c r="BB187" s="20">
        <f t="shared" ca="1" si="257"/>
        <v>0.17406673606313453</v>
      </c>
      <c r="BC187" s="20">
        <f t="shared" ca="1" si="257"/>
        <v>0.17227095787025132</v>
      </c>
      <c r="BD187" s="20">
        <f t="shared" ca="1" si="257"/>
        <v>0.16853626077603845</v>
      </c>
      <c r="BE187" s="20">
        <f t="shared" ca="1" si="257"/>
        <v>0.15902535254835831</v>
      </c>
    </row>
    <row r="188" spans="2:57" s="6" customFormat="1" x14ac:dyDescent="0.2">
      <c r="B188" s="18"/>
      <c r="K188" s="20"/>
      <c r="L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</row>
    <row r="189" spans="2:57" x14ac:dyDescent="0.2">
      <c r="B189" s="4" t="s">
        <v>301</v>
      </c>
      <c r="K189"/>
    </row>
    <row r="190" spans="2:57" x14ac:dyDescent="0.2">
      <c r="K190"/>
    </row>
    <row r="191" spans="2:57" x14ac:dyDescent="0.2">
      <c r="B191" s="16" t="s">
        <v>292</v>
      </c>
      <c r="C191" t="s">
        <v>300</v>
      </c>
      <c r="K191" s="5">
        <f ca="1">NPV($F$220,AB191:BE191)</f>
        <v>28730531.296273831</v>
      </c>
      <c r="L191" s="1">
        <f ca="1">L177</f>
        <v>79491231.514501616</v>
      </c>
      <c r="AA191" t="str">
        <f t="shared" ref="AA191:AA192" si="259">C191</f>
        <v>EBITDA</v>
      </c>
      <c r="AB191" s="1">
        <f ca="1">AB177</f>
        <v>1742221.8755712365</v>
      </c>
      <c r="AC191" s="1">
        <f t="shared" ref="AC191:BE191" ca="1" si="260">AC177</f>
        <v>1893090.8437057261</v>
      </c>
      <c r="AD191" s="1">
        <f t="shared" ca="1" si="260"/>
        <v>2036683.7132115436</v>
      </c>
      <c r="AE191" s="1">
        <f t="shared" ca="1" si="260"/>
        <v>2042093.4262758885</v>
      </c>
      <c r="AF191" s="1">
        <f t="shared" ca="1" si="260"/>
        <v>2185991.1335645104</v>
      </c>
      <c r="AG191" s="1">
        <f t="shared" ca="1" si="260"/>
        <v>2354791.8516631494</v>
      </c>
      <c r="AH191" s="1">
        <f t="shared" ca="1" si="260"/>
        <v>2414090.0598511319</v>
      </c>
      <c r="AI191" s="1">
        <f t="shared" ca="1" si="260"/>
        <v>2474082.1150846132</v>
      </c>
      <c r="AJ191" s="1">
        <f t="shared" ca="1" si="260"/>
        <v>2533576.8768100827</v>
      </c>
      <c r="AK191" s="1">
        <f t="shared" ca="1" si="260"/>
        <v>2598937.8795479191</v>
      </c>
      <c r="AL191" s="1">
        <f t="shared" ca="1" si="260"/>
        <v>2635873.1727133594</v>
      </c>
      <c r="AM191" s="1">
        <f t="shared" ca="1" si="260"/>
        <v>2668905.7368815942</v>
      </c>
      <c r="AN191" s="1">
        <f t="shared" ref="AN191" ca="1" si="261">AN177</f>
        <v>2701989.5868315464</v>
      </c>
      <c r="AO191" s="1">
        <f t="shared" ca="1" si="260"/>
        <v>2734668.8400145527</v>
      </c>
      <c r="AP191" s="1">
        <f t="shared" ca="1" si="260"/>
        <v>2766573.911729509</v>
      </c>
      <c r="AQ191" s="1">
        <f t="shared" ca="1" si="260"/>
        <v>2798852.6464855028</v>
      </c>
      <c r="AR191" s="1">
        <f t="shared" ca="1" si="260"/>
        <v>2811679.1859646505</v>
      </c>
      <c r="AS191" s="1">
        <f t="shared" ca="1" si="260"/>
        <v>2824272.7415482025</v>
      </c>
      <c r="AT191" s="1">
        <f t="shared" ca="1" si="260"/>
        <v>2836394.2896556323</v>
      </c>
      <c r="AU191" s="1">
        <f t="shared" ca="1" si="260"/>
        <v>2846833.92413923</v>
      </c>
      <c r="AV191" s="1">
        <f t="shared" ca="1" si="260"/>
        <v>2858275.1391621442</v>
      </c>
      <c r="AW191" s="1">
        <f t="shared" ca="1" si="260"/>
        <v>2869039.5758214653</v>
      </c>
      <c r="AX191" s="1">
        <f t="shared" ca="1" si="260"/>
        <v>2879334.2452875571</v>
      </c>
      <c r="AY191" s="1">
        <f t="shared" ca="1" si="260"/>
        <v>2888736.4850892983</v>
      </c>
      <c r="AZ191" s="1">
        <f t="shared" ca="1" si="260"/>
        <v>2897548.7746239197</v>
      </c>
      <c r="BA191" s="1">
        <f t="shared" ca="1" si="260"/>
        <v>2905142.907619793</v>
      </c>
      <c r="BB191" s="1">
        <f t="shared" ca="1" si="260"/>
        <v>2913852.4991704863</v>
      </c>
      <c r="BC191" s="1">
        <f t="shared" ca="1" si="260"/>
        <v>2921326.0723829865</v>
      </c>
      <c r="BD191" s="1">
        <f t="shared" ca="1" si="260"/>
        <v>2927901.7738863989</v>
      </c>
      <c r="BE191" s="1">
        <f t="shared" ca="1" si="260"/>
        <v>2934230.6748631569</v>
      </c>
    </row>
    <row r="192" spans="2:57" x14ac:dyDescent="0.2">
      <c r="B192" s="16" t="s">
        <v>294</v>
      </c>
      <c r="C192" t="s">
        <v>302</v>
      </c>
      <c r="K192" s="5">
        <f ca="1">NPV($F$220,AB192:BE192)</f>
        <v>-7568991.9703897629</v>
      </c>
      <c r="L192" s="1">
        <f t="shared" ref="L192" ca="1" si="262">SUM(AB192:BE192)</f>
        <v>-20360012.358470667</v>
      </c>
      <c r="AA192" t="str">
        <f t="shared" si="259"/>
        <v>IR/CSLL</v>
      </c>
      <c r="AB192" s="1">
        <f ca="1">AB184</f>
        <v>-509955.56219628587</v>
      </c>
      <c r="AC192" s="1">
        <f t="shared" ref="AC192:BE192" ca="1" si="263">AC184</f>
        <v>-535365.96541337541</v>
      </c>
      <c r="AD192" s="1">
        <f t="shared" ca="1" si="263"/>
        <v>-566939.48107944208</v>
      </c>
      <c r="AE192" s="1">
        <f t="shared" ca="1" si="263"/>
        <v>-550276.14131525403</v>
      </c>
      <c r="AF192" s="1">
        <f t="shared" ca="1" si="263"/>
        <v>-573115.550881751</v>
      </c>
      <c r="AG192" s="1">
        <f t="shared" ca="1" si="263"/>
        <v>-625093.39142062759</v>
      </c>
      <c r="AH192" s="1">
        <f t="shared" ca="1" si="263"/>
        <v>-640477.23751020804</v>
      </c>
      <c r="AI192" s="1">
        <f t="shared" ca="1" si="263"/>
        <v>-656293.32101045363</v>
      </c>
      <c r="AJ192" s="1">
        <f t="shared" ca="1" si="263"/>
        <v>-669761.96720952808</v>
      </c>
      <c r="AK192" s="1">
        <f t="shared" ca="1" si="263"/>
        <v>-668632.4548536354</v>
      </c>
      <c r="AL192" s="1">
        <f t="shared" ca="1" si="263"/>
        <v>-677063.02090446535</v>
      </c>
      <c r="AM192" s="1">
        <f t="shared" ca="1" si="263"/>
        <v>-686042.46931590349</v>
      </c>
      <c r="AN192" s="1">
        <f t="shared" ref="AN192" ca="1" si="264">AN184</f>
        <v>-695017.14899601298</v>
      </c>
      <c r="AO192" s="1">
        <f t="shared" ca="1" si="263"/>
        <v>-703820.10665911902</v>
      </c>
      <c r="AP192" s="1">
        <f t="shared" ca="1" si="263"/>
        <v>-712273.03382574802</v>
      </c>
      <c r="AQ192" s="1">
        <f t="shared" ca="1" si="263"/>
        <v>-721051.97794824501</v>
      </c>
      <c r="AR192" s="1">
        <f t="shared" ca="1" si="263"/>
        <v>-723588.78687594738</v>
      </c>
      <c r="AS192" s="1">
        <f t="shared" ca="1" si="263"/>
        <v>-725921.03025111603</v>
      </c>
      <c r="AT192" s="1">
        <f t="shared" ca="1" si="263"/>
        <v>-730651.76903719397</v>
      </c>
      <c r="AU192" s="1">
        <f t="shared" ca="1" si="263"/>
        <v>-728825.90656131704</v>
      </c>
      <c r="AV192" s="1">
        <f t="shared" ca="1" si="263"/>
        <v>-730464.61077798926</v>
      </c>
      <c r="AW192" s="1">
        <f t="shared" ca="1" si="263"/>
        <v>-734030.49610425485</v>
      </c>
      <c r="AX192" s="1">
        <f t="shared" ca="1" si="263"/>
        <v>-736845.83737628802</v>
      </c>
      <c r="AY192" s="1">
        <f t="shared" ca="1" si="263"/>
        <v>-738809.30401517334</v>
      </c>
      <c r="AZ192" s="1">
        <f t="shared" ca="1" si="263"/>
        <v>-739541.81292648893</v>
      </c>
      <c r="BA192" s="1">
        <f t="shared" ca="1" si="263"/>
        <v>-736968.47983364435</v>
      </c>
      <c r="BB192" s="1">
        <f t="shared" ca="1" si="263"/>
        <v>-734049.57153724181</v>
      </c>
      <c r="BC192" s="1">
        <f t="shared" ca="1" si="263"/>
        <v>-726769.87932358868</v>
      </c>
      <c r="BD192" s="1">
        <f t="shared" ca="1" si="263"/>
        <v>-711205.39967853064</v>
      </c>
      <c r="BE192" s="1">
        <f t="shared" ca="1" si="263"/>
        <v>-671160.64363183931</v>
      </c>
    </row>
    <row r="193" spans="2:57" s="6" customFormat="1" x14ac:dyDescent="0.2">
      <c r="B193" s="18" t="s">
        <v>292</v>
      </c>
      <c r="C193" s="6" t="s">
        <v>303</v>
      </c>
      <c r="K193" s="17">
        <f ca="1">K191+K192</f>
        <v>21161539.325884067</v>
      </c>
      <c r="L193" s="17">
        <f ca="1">L191+L192</f>
        <v>59131219.156030953</v>
      </c>
      <c r="AA193" t="str">
        <f>C193</f>
        <v>Fluxo de Caixa, após atividades de operação</v>
      </c>
      <c r="AB193" s="17">
        <f ca="1">AB191+AB192</f>
        <v>1232266.3133749506</v>
      </c>
      <c r="AC193" s="17">
        <f t="shared" ref="AC193:BE193" ca="1" si="265">AC191+AC192</f>
        <v>1357724.8782923506</v>
      </c>
      <c r="AD193" s="17">
        <f t="shared" ca="1" si="265"/>
        <v>1469744.2321321014</v>
      </c>
      <c r="AE193" s="17">
        <f t="shared" ca="1" si="265"/>
        <v>1491817.2849606345</v>
      </c>
      <c r="AF193" s="17">
        <f t="shared" ca="1" si="265"/>
        <v>1612875.5826827595</v>
      </c>
      <c r="AG193" s="17">
        <f t="shared" ca="1" si="265"/>
        <v>1729698.4602425219</v>
      </c>
      <c r="AH193" s="17">
        <f t="shared" ca="1" si="265"/>
        <v>1773612.8223409238</v>
      </c>
      <c r="AI193" s="17">
        <f t="shared" ca="1" si="265"/>
        <v>1817788.7940741596</v>
      </c>
      <c r="AJ193" s="17">
        <f t="shared" ca="1" si="265"/>
        <v>1863814.9096005545</v>
      </c>
      <c r="AK193" s="17">
        <f t="shared" ca="1" si="265"/>
        <v>1930305.4246942839</v>
      </c>
      <c r="AL193" s="17">
        <f t="shared" ca="1" si="265"/>
        <v>1958810.151808894</v>
      </c>
      <c r="AM193" s="17">
        <f t="shared" ca="1" si="265"/>
        <v>1982863.2675656907</v>
      </c>
      <c r="AN193" s="17">
        <f t="shared" ref="AN193" ca="1" si="266">AN191+AN192</f>
        <v>2006972.4378355334</v>
      </c>
      <c r="AO193" s="17">
        <f t="shared" ca="1" si="265"/>
        <v>2030848.7333554337</v>
      </c>
      <c r="AP193" s="17">
        <f t="shared" ca="1" si="265"/>
        <v>2054300.8779037609</v>
      </c>
      <c r="AQ193" s="17">
        <f t="shared" ca="1" si="265"/>
        <v>2077800.6685372577</v>
      </c>
      <c r="AR193" s="17">
        <f t="shared" ca="1" si="265"/>
        <v>2088090.3990887031</v>
      </c>
      <c r="AS193" s="17">
        <f t="shared" ca="1" si="265"/>
        <v>2098351.7112970864</v>
      </c>
      <c r="AT193" s="17">
        <f t="shared" ca="1" si="265"/>
        <v>2105742.5206184383</v>
      </c>
      <c r="AU193" s="17">
        <f t="shared" ca="1" si="265"/>
        <v>2118008.0175779131</v>
      </c>
      <c r="AV193" s="17">
        <f t="shared" ca="1" si="265"/>
        <v>2127810.5283841547</v>
      </c>
      <c r="AW193" s="17">
        <f t="shared" ca="1" si="265"/>
        <v>2135009.0797172105</v>
      </c>
      <c r="AX193" s="17">
        <f t="shared" ca="1" si="265"/>
        <v>2142488.407911269</v>
      </c>
      <c r="AY193" s="17">
        <f t="shared" ca="1" si="265"/>
        <v>2149927.1810741248</v>
      </c>
      <c r="AZ193" s="17">
        <f t="shared" ca="1" si="265"/>
        <v>2158006.9616974308</v>
      </c>
      <c r="BA193" s="17">
        <f t="shared" ca="1" si="265"/>
        <v>2168174.4277861486</v>
      </c>
      <c r="BB193" s="17">
        <f t="shared" ca="1" si="265"/>
        <v>2179802.9276332445</v>
      </c>
      <c r="BC193" s="17">
        <f t="shared" ca="1" si="265"/>
        <v>2194556.1930593979</v>
      </c>
      <c r="BD193" s="17">
        <f t="shared" ca="1" si="265"/>
        <v>2216696.3742078682</v>
      </c>
      <c r="BE193" s="17">
        <f t="shared" ca="1" si="265"/>
        <v>2263070.0312313177</v>
      </c>
    </row>
    <row r="194" spans="2:57" x14ac:dyDescent="0.2">
      <c r="K194"/>
    </row>
    <row r="195" spans="2:57" x14ac:dyDescent="0.2">
      <c r="C195" t="s">
        <v>304</v>
      </c>
      <c r="F195" s="12">
        <f>$F$220</f>
        <v>7.4999999999999997E-2</v>
      </c>
      <c r="G195" s="1">
        <f ca="1">NPV(F195,AB193:BE193)</f>
        <v>21161539.325884067</v>
      </c>
      <c r="K195"/>
    </row>
    <row r="196" spans="2:57" x14ac:dyDescent="0.2">
      <c r="C196" t="s">
        <v>304</v>
      </c>
      <c r="F196" s="12">
        <f>F221</f>
        <v>0.08</v>
      </c>
      <c r="G196" s="1">
        <f ca="1">NPV(F196,AB193:BE193)</f>
        <v>20059908.281722561</v>
      </c>
      <c r="K196"/>
    </row>
    <row r="197" spans="2:57" x14ac:dyDescent="0.2">
      <c r="F197" s="12"/>
      <c r="K197" s="27">
        <f t="shared" ref="K197" si="267">-K198</f>
        <v>20887596.213454627</v>
      </c>
      <c r="L197" s="27">
        <f t="shared" ref="L197" si="268">-L198</f>
        <v>35229573.330076069</v>
      </c>
      <c r="AA197" t="str">
        <f>C198</f>
        <v>Investimentos</v>
      </c>
      <c r="AB197" s="27">
        <f t="shared" ref="AB197:BE197" si="269">-AB198</f>
        <v>7270577.2498177588</v>
      </c>
      <c r="AC197" s="27">
        <f t="shared" si="269"/>
        <v>2623465.1617595414</v>
      </c>
      <c r="AD197" s="27">
        <f t="shared" si="269"/>
        <v>1916476.5766109901</v>
      </c>
      <c r="AE197" s="27">
        <f t="shared" si="269"/>
        <v>2031948.4182951781</v>
      </c>
      <c r="AF197" s="27">
        <f t="shared" si="269"/>
        <v>2755990.6912592496</v>
      </c>
      <c r="AG197" s="27">
        <f t="shared" si="269"/>
        <v>989418.54458630225</v>
      </c>
      <c r="AH197" s="27">
        <f t="shared" si="269"/>
        <v>943140.33249030588</v>
      </c>
      <c r="AI197" s="27">
        <f t="shared" si="269"/>
        <v>932441.30064043147</v>
      </c>
      <c r="AJ197" s="27">
        <f t="shared" si="269"/>
        <v>1124815.052660147</v>
      </c>
      <c r="AK197" s="27">
        <f t="shared" si="269"/>
        <v>2547850.4277136507</v>
      </c>
      <c r="AL197" s="27">
        <f t="shared" si="269"/>
        <v>959531.20770781185</v>
      </c>
      <c r="AM197" s="27">
        <f t="shared" si="269"/>
        <v>799746.07468043105</v>
      </c>
      <c r="AN197" s="27">
        <f t="shared" si="269"/>
        <v>792154.06164423516</v>
      </c>
      <c r="AO197" s="27">
        <f t="shared" si="269"/>
        <v>783140.87004485517</v>
      </c>
      <c r="AP197" s="27">
        <f t="shared" si="269"/>
        <v>775611.69678523403</v>
      </c>
      <c r="AQ197" s="27">
        <f t="shared" si="269"/>
        <v>743738.14429482748</v>
      </c>
      <c r="AR197" s="27">
        <f t="shared" si="269"/>
        <v>696911.29637021036</v>
      </c>
      <c r="AS197" s="27">
        <f t="shared" si="269"/>
        <v>682802.78010466858</v>
      </c>
      <c r="AT197" s="27">
        <f t="shared" si="269"/>
        <v>486522.42495437618</v>
      </c>
      <c r="AU197" s="27">
        <f t="shared" si="269"/>
        <v>837942.85962940659</v>
      </c>
      <c r="AV197" s="27">
        <f t="shared" si="269"/>
        <v>613734.3485034206</v>
      </c>
      <c r="AW197" s="27">
        <f t="shared" si="269"/>
        <v>456591.19369391754</v>
      </c>
      <c r="AX197" s="27">
        <f t="shared" si="269"/>
        <v>450288.19046136527</v>
      </c>
      <c r="AY197" s="27">
        <f t="shared" si="269"/>
        <v>434132.14084203029</v>
      </c>
      <c r="AZ197" s="27">
        <f t="shared" si="269"/>
        <v>428963.74489798414</v>
      </c>
      <c r="BA197" s="27">
        <f t="shared" si="269"/>
        <v>474637.33209343255</v>
      </c>
      <c r="BB197" s="27">
        <f t="shared" si="269"/>
        <v>419250.3018835769</v>
      </c>
      <c r="BC197" s="27">
        <f t="shared" si="269"/>
        <v>419250.3018835769</v>
      </c>
      <c r="BD197" s="27">
        <f t="shared" si="269"/>
        <v>419250.3018835769</v>
      </c>
      <c r="BE197" s="27">
        <f t="shared" si="269"/>
        <v>419250.3018835769</v>
      </c>
    </row>
    <row r="198" spans="2:57" x14ac:dyDescent="0.2">
      <c r="B198" s="16" t="s">
        <v>294</v>
      </c>
      <c r="C198" t="s">
        <v>305</v>
      </c>
      <c r="F198" s="12"/>
      <c r="K198" s="1">
        <f>SUM(K199:K202)</f>
        <v>-20887596.213454627</v>
      </c>
      <c r="L198" s="1">
        <f>SUM(L199:L202)</f>
        <v>-35229573.330076069</v>
      </c>
      <c r="AA198" t="str">
        <f t="shared" ref="AA198:AA200" si="270">C198</f>
        <v>Investimentos</v>
      </c>
      <c r="AB198" s="1">
        <f>SUM(AB199:AB202)</f>
        <v>-7270577.2498177588</v>
      </c>
      <c r="AC198" s="1">
        <f t="shared" ref="AC198:BE198" si="271">SUM(AC199:AC202)</f>
        <v>-2623465.1617595414</v>
      </c>
      <c r="AD198" s="1">
        <f t="shared" si="271"/>
        <v>-1916476.5766109901</v>
      </c>
      <c r="AE198" s="1">
        <f t="shared" si="271"/>
        <v>-2031948.4182951781</v>
      </c>
      <c r="AF198" s="1">
        <f t="shared" si="271"/>
        <v>-2755990.6912592496</v>
      </c>
      <c r="AG198" s="1">
        <f t="shared" si="271"/>
        <v>-989418.54458630225</v>
      </c>
      <c r="AH198" s="1">
        <f t="shared" si="271"/>
        <v>-943140.33249030588</v>
      </c>
      <c r="AI198" s="1">
        <f t="shared" si="271"/>
        <v>-932441.30064043147</v>
      </c>
      <c r="AJ198" s="1">
        <f t="shared" si="271"/>
        <v>-1124815.052660147</v>
      </c>
      <c r="AK198" s="1">
        <f t="shared" si="271"/>
        <v>-2547850.4277136507</v>
      </c>
      <c r="AL198" s="1">
        <f t="shared" si="271"/>
        <v>-959531.20770781185</v>
      </c>
      <c r="AM198" s="1">
        <f t="shared" si="271"/>
        <v>-799746.07468043105</v>
      </c>
      <c r="AN198" s="1">
        <f t="shared" ref="AN198" si="272">SUM(AN199:AN202)</f>
        <v>-792154.06164423516</v>
      </c>
      <c r="AO198" s="1">
        <f t="shared" si="271"/>
        <v>-783140.87004485517</v>
      </c>
      <c r="AP198" s="1">
        <f t="shared" si="271"/>
        <v>-775611.69678523403</v>
      </c>
      <c r="AQ198" s="1">
        <f t="shared" si="271"/>
        <v>-743738.14429482748</v>
      </c>
      <c r="AR198" s="1">
        <f t="shared" si="271"/>
        <v>-696911.29637021036</v>
      </c>
      <c r="AS198" s="1">
        <f t="shared" si="271"/>
        <v>-682802.78010466858</v>
      </c>
      <c r="AT198" s="1">
        <f t="shared" si="271"/>
        <v>-486522.42495437618</v>
      </c>
      <c r="AU198" s="1">
        <f t="shared" si="271"/>
        <v>-837942.85962940659</v>
      </c>
      <c r="AV198" s="1">
        <f t="shared" si="271"/>
        <v>-613734.3485034206</v>
      </c>
      <c r="AW198" s="1">
        <f t="shared" si="271"/>
        <v>-456591.19369391754</v>
      </c>
      <c r="AX198" s="1">
        <f t="shared" si="271"/>
        <v>-450288.19046136527</v>
      </c>
      <c r="AY198" s="1">
        <f t="shared" si="271"/>
        <v>-434132.14084203029</v>
      </c>
      <c r="AZ198" s="1">
        <f t="shared" si="271"/>
        <v>-428963.74489798414</v>
      </c>
      <c r="BA198" s="1">
        <f t="shared" si="271"/>
        <v>-474637.33209343255</v>
      </c>
      <c r="BB198" s="1">
        <f t="shared" si="271"/>
        <v>-419250.3018835769</v>
      </c>
      <c r="BC198" s="1">
        <f t="shared" si="271"/>
        <v>-419250.3018835769</v>
      </c>
      <c r="BD198" s="1">
        <f t="shared" si="271"/>
        <v>-419250.3018835769</v>
      </c>
      <c r="BE198" s="1">
        <f t="shared" si="271"/>
        <v>-419250.3018835769</v>
      </c>
    </row>
    <row r="199" spans="2:57" x14ac:dyDescent="0.2">
      <c r="C199" t="s">
        <v>384</v>
      </c>
      <c r="F199" s="12"/>
      <c r="K199" s="5">
        <f>NPV($F$220,AB199:BE199)</f>
        <v>-7841972.0157602625</v>
      </c>
      <c r="L199" s="1">
        <f>SUM(AB199:BE199)</f>
        <v>-12713220.91914743</v>
      </c>
      <c r="AA199" t="str">
        <f t="shared" si="270"/>
        <v>Sistema de Abastecimento de Água</v>
      </c>
      <c r="AB199" s="1">
        <f>-AB144</f>
        <v>-2213433.7957281922</v>
      </c>
      <c r="AC199" s="1">
        <f t="shared" ref="AC199:BE199" si="273">-AC144</f>
        <v>-1150130.8214603937</v>
      </c>
      <c r="AD199" s="1">
        <f t="shared" si="273"/>
        <v>-1022586.7199087691</v>
      </c>
      <c r="AE199" s="1">
        <f t="shared" si="273"/>
        <v>-1270883.7090662422</v>
      </c>
      <c r="AF199" s="1">
        <f t="shared" si="273"/>
        <v>-764425.99038118788</v>
      </c>
      <c r="AG199" s="1">
        <f t="shared" si="273"/>
        <v>-456337.99185360671</v>
      </c>
      <c r="AH199" s="1">
        <f t="shared" si="273"/>
        <v>-454488.06901107967</v>
      </c>
      <c r="AI199" s="1">
        <f t="shared" si="273"/>
        <v>-449830.16432602552</v>
      </c>
      <c r="AJ199" s="1">
        <f t="shared" si="273"/>
        <v>-445108.74864097132</v>
      </c>
      <c r="AK199" s="1">
        <f t="shared" si="273"/>
        <v>-438029.32211339002</v>
      </c>
      <c r="AL199" s="1">
        <f t="shared" si="273"/>
        <v>-404035.06819912494</v>
      </c>
      <c r="AM199" s="1">
        <f t="shared" si="273"/>
        <v>-396955.64167154359</v>
      </c>
      <c r="AN199" s="1">
        <f t="shared" ref="AN199" si="274">-AN144</f>
        <v>-392170.71498648939</v>
      </c>
      <c r="AO199" s="1">
        <f t="shared" si="273"/>
        <v>-389658.56214396236</v>
      </c>
      <c r="AP199" s="1">
        <f t="shared" si="273"/>
        <v>-384810.12445890828</v>
      </c>
      <c r="AQ199" s="1">
        <f t="shared" si="273"/>
        <v>-141790.38832296027</v>
      </c>
      <c r="AR199" s="1">
        <f t="shared" si="273"/>
        <v>-136856.71363790613</v>
      </c>
      <c r="AS199" s="1">
        <f t="shared" si="273"/>
        <v>-136898.49863790613</v>
      </c>
      <c r="AT199" s="1">
        <f t="shared" si="273"/>
        <v>-126969.30526779783</v>
      </c>
      <c r="AU199" s="1">
        <f t="shared" si="273"/>
        <v>-477974.79642527073</v>
      </c>
      <c r="AV199" s="1">
        <f t="shared" si="273"/>
        <v>-122035.63058274367</v>
      </c>
      <c r="AW199" s="1">
        <f t="shared" si="273"/>
        <v>-114723.88605516245</v>
      </c>
      <c r="AX199" s="1">
        <f t="shared" si="273"/>
        <v>-111957.68921263538</v>
      </c>
      <c r="AY199" s="1">
        <f t="shared" si="273"/>
        <v>-106918.71852758122</v>
      </c>
      <c r="AZ199" s="1">
        <f t="shared" si="273"/>
        <v>-101816.23684252707</v>
      </c>
      <c r="BA199" s="1">
        <f t="shared" si="273"/>
        <v>-104560.70768505415</v>
      </c>
      <c r="BB199" s="1">
        <f t="shared" si="273"/>
        <v>-99458.225999999995</v>
      </c>
      <c r="BC199" s="1">
        <f t="shared" si="273"/>
        <v>-99458.225999999995</v>
      </c>
      <c r="BD199" s="1">
        <f t="shared" si="273"/>
        <v>-99458.225999999995</v>
      </c>
      <c r="BE199" s="1">
        <f t="shared" si="273"/>
        <v>-99458.225999999995</v>
      </c>
    </row>
    <row r="200" spans="2:57" x14ac:dyDescent="0.2">
      <c r="C200" t="s">
        <v>385</v>
      </c>
      <c r="F200" s="12"/>
      <c r="K200" s="5">
        <f>NPV($F$220,AB200:BE200)</f>
        <v>-6371391.9356316263</v>
      </c>
      <c r="L200" s="1">
        <f t="shared" ref="L200:L202" si="275">SUM(AB200:BE200)</f>
        <v>-13056716.454463772</v>
      </c>
      <c r="AA200" t="str">
        <f t="shared" si="270"/>
        <v>Sistema de Esgotamento Sanitário</v>
      </c>
      <c r="AB200" s="1">
        <f t="shared" ref="AB200:BE200" si="276">-AB145</f>
        <v>-1096652.4379078702</v>
      </c>
      <c r="AC200" s="1">
        <f t="shared" si="276"/>
        <v>-593135.6038087873</v>
      </c>
      <c r="AD200" s="1">
        <f t="shared" si="276"/>
        <v>-385886.29428045242</v>
      </c>
      <c r="AE200" s="1">
        <f t="shared" si="276"/>
        <v>-384383.66388177604</v>
      </c>
      <c r="AF200" s="1">
        <f t="shared" si="276"/>
        <v>-1325273.2815507574</v>
      </c>
      <c r="AG200" s="1">
        <f t="shared" si="276"/>
        <v>-369678.75942524691</v>
      </c>
      <c r="AH200" s="1">
        <f t="shared" si="276"/>
        <v>-367906.32057971985</v>
      </c>
      <c r="AI200" s="1">
        <f t="shared" si="276"/>
        <v>-362176.89423078403</v>
      </c>
      <c r="AJ200" s="1">
        <f t="shared" si="276"/>
        <v>-356357.53173289809</v>
      </c>
      <c r="AK200" s="1">
        <f t="shared" si="276"/>
        <v>-1990088.1903523789</v>
      </c>
      <c r="AL200" s="1">
        <f t="shared" si="276"/>
        <v>-344710.25329027529</v>
      </c>
      <c r="AM200" s="1">
        <f t="shared" si="276"/>
        <v>-334972.09801430267</v>
      </c>
      <c r="AN200" s="1">
        <f t="shared" ref="AN200" si="277">-AN145</f>
        <v>-332398.78727507428</v>
      </c>
      <c r="AO200" s="1">
        <f t="shared" si="276"/>
        <v>-326131.52413013473</v>
      </c>
      <c r="AP200" s="1">
        <f t="shared" si="276"/>
        <v>-323684.56416748092</v>
      </c>
      <c r="AQ200" s="1">
        <f t="shared" si="276"/>
        <v>-313631.63237018249</v>
      </c>
      <c r="AR200" s="1">
        <f t="shared" si="276"/>
        <v>-314394.30953856185</v>
      </c>
      <c r="AS200" s="1">
        <f t="shared" si="276"/>
        <v>-300555.70908890443</v>
      </c>
      <c r="AT200" s="1">
        <f t="shared" si="276"/>
        <v>-293838.76519921375</v>
      </c>
      <c r="AU200" s="1">
        <f t="shared" si="276"/>
        <v>-294331.63392074232</v>
      </c>
      <c r="AV200" s="1">
        <f t="shared" si="276"/>
        <v>-283873.98945316783</v>
      </c>
      <c r="AW200" s="1">
        <f t="shared" si="276"/>
        <v>-276932.20519110165</v>
      </c>
      <c r="AX200" s="1">
        <f t="shared" si="276"/>
        <v>-273551.24920901872</v>
      </c>
      <c r="AY200" s="1">
        <f t="shared" si="276"/>
        <v>-262823.79629459349</v>
      </c>
      <c r="AZ200" s="1">
        <f t="shared" si="276"/>
        <v>-262913.73244354373</v>
      </c>
      <c r="BA200" s="1">
        <f t="shared" si="276"/>
        <v>-263264.92359249387</v>
      </c>
      <c r="BB200" s="1">
        <f t="shared" si="276"/>
        <v>-255792.07588357694</v>
      </c>
      <c r="BC200" s="1">
        <f t="shared" si="276"/>
        <v>-255792.07588357694</v>
      </c>
      <c r="BD200" s="1">
        <f t="shared" si="276"/>
        <v>-255792.07588357694</v>
      </c>
      <c r="BE200" s="1">
        <f t="shared" si="276"/>
        <v>-255792.07588357694</v>
      </c>
    </row>
    <row r="201" spans="2:57" x14ac:dyDescent="0.2">
      <c r="C201" t="s">
        <v>386</v>
      </c>
      <c r="F201" s="12"/>
      <c r="K201" s="5">
        <f>NPV($F$220,AB201:BE201)</f>
        <v>-6209115.9829929713</v>
      </c>
      <c r="L201" s="1">
        <f t="shared" si="275"/>
        <v>-8959635.956464868</v>
      </c>
      <c r="AA201" t="str">
        <f>C201</f>
        <v>Outros Investimentos</v>
      </c>
      <c r="AB201" s="1">
        <f t="shared" ref="AB201:BE201" si="278">-AB146</f>
        <v>-3460491.0161816967</v>
      </c>
      <c r="AC201" s="1">
        <f t="shared" si="278"/>
        <v>-880198.73649036069</v>
      </c>
      <c r="AD201" s="1">
        <f t="shared" si="278"/>
        <v>-508003.56242176867</v>
      </c>
      <c r="AE201" s="1">
        <f t="shared" si="278"/>
        <v>-376681.04534715979</v>
      </c>
      <c r="AF201" s="1">
        <f t="shared" si="278"/>
        <v>-666291.41932730423</v>
      </c>
      <c r="AG201" s="1">
        <f t="shared" si="278"/>
        <v>-163401.79330744862</v>
      </c>
      <c r="AH201" s="1">
        <f t="shared" si="278"/>
        <v>-120745.94289950636</v>
      </c>
      <c r="AI201" s="1">
        <f t="shared" si="278"/>
        <v>-120434.24208362188</v>
      </c>
      <c r="AJ201" s="1">
        <f t="shared" si="278"/>
        <v>-323348.77228627756</v>
      </c>
      <c r="AK201" s="1">
        <f t="shared" si="278"/>
        <v>-119732.91524788181</v>
      </c>
      <c r="AL201" s="1">
        <f t="shared" si="278"/>
        <v>-210785.88621841156</v>
      </c>
      <c r="AM201" s="1">
        <f t="shared" si="278"/>
        <v>-67818.334994584846</v>
      </c>
      <c r="AN201" s="1">
        <f t="shared" ref="AN201" si="279">-AN146</f>
        <v>-67584.55938267149</v>
      </c>
      <c r="AO201" s="1">
        <f t="shared" si="278"/>
        <v>-67350.78377075812</v>
      </c>
      <c r="AP201" s="1">
        <f t="shared" si="278"/>
        <v>-67117.008158844765</v>
      </c>
      <c r="AQ201" s="1">
        <f t="shared" si="278"/>
        <v>-288316.1236016847</v>
      </c>
      <c r="AR201" s="1">
        <f t="shared" si="278"/>
        <v>-245660.27319374244</v>
      </c>
      <c r="AS201" s="1">
        <f t="shared" si="278"/>
        <v>-245348.57237785798</v>
      </c>
      <c r="AT201" s="1">
        <f t="shared" si="278"/>
        <v>-65714.354487364617</v>
      </c>
      <c r="AU201" s="1">
        <f t="shared" si="278"/>
        <v>-65636.429283393503</v>
      </c>
      <c r="AV201" s="1">
        <f t="shared" si="278"/>
        <v>-207824.72846750903</v>
      </c>
      <c r="AW201" s="1">
        <f t="shared" si="278"/>
        <v>-64935.102447653429</v>
      </c>
      <c r="AX201" s="1">
        <f t="shared" si="278"/>
        <v>-64779.252039711195</v>
      </c>
      <c r="AY201" s="1">
        <f t="shared" si="278"/>
        <v>-64389.626019855597</v>
      </c>
      <c r="AZ201" s="1">
        <f t="shared" si="278"/>
        <v>-64233.775611913356</v>
      </c>
      <c r="BA201" s="1">
        <f t="shared" si="278"/>
        <v>-106811.70081588448</v>
      </c>
      <c r="BB201" s="1">
        <f t="shared" si="278"/>
        <v>-64000</v>
      </c>
      <c r="BC201" s="1">
        <f t="shared" si="278"/>
        <v>-64000</v>
      </c>
      <c r="BD201" s="1">
        <f t="shared" si="278"/>
        <v>-64000</v>
      </c>
      <c r="BE201" s="1">
        <f t="shared" si="278"/>
        <v>-64000</v>
      </c>
    </row>
    <row r="202" spans="2:57" x14ac:dyDescent="0.2">
      <c r="C202" t="s">
        <v>412</v>
      </c>
      <c r="F202" s="12"/>
      <c r="K202" s="5">
        <f>NPV($F$220,AB202:BE202)</f>
        <v>-465116.27906976745</v>
      </c>
      <c r="L202" s="1">
        <f t="shared" si="275"/>
        <v>-500000</v>
      </c>
      <c r="AA202" t="str">
        <f>C202</f>
        <v>Outorga</v>
      </c>
      <c r="AB202" s="1">
        <v>-500000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</row>
    <row r="203" spans="2:57" s="6" customFormat="1" x14ac:dyDescent="0.2">
      <c r="B203" s="18" t="s">
        <v>292</v>
      </c>
      <c r="C203" s="6" t="s">
        <v>306</v>
      </c>
      <c r="F203" s="21"/>
      <c r="K203" s="17">
        <f t="shared" ref="K203" ca="1" si="280">K193+K198</f>
        <v>273943.11242944002</v>
      </c>
      <c r="L203" s="17">
        <f t="shared" ref="L203" ca="1" si="281">L193+L198</f>
        <v>23901645.825954884</v>
      </c>
      <c r="AA203" s="6" t="str">
        <f t="shared" ref="AA203:AA204" si="282">C203</f>
        <v>Fluxo de Caixa, após atividades de investimentos</v>
      </c>
      <c r="AB203" s="17">
        <f t="shared" ref="AB203:BE203" ca="1" si="283">AB193+AB198</f>
        <v>-6038310.9364428082</v>
      </c>
      <c r="AC203" s="17">
        <f t="shared" ca="1" si="283"/>
        <v>-1265740.2834671908</v>
      </c>
      <c r="AD203" s="17">
        <f t="shared" ca="1" si="283"/>
        <v>-446732.34447888867</v>
      </c>
      <c r="AE203" s="17">
        <f t="shared" ca="1" si="283"/>
        <v>-540131.13333454356</v>
      </c>
      <c r="AF203" s="17">
        <f t="shared" ca="1" si="283"/>
        <v>-1143115.1085764901</v>
      </c>
      <c r="AG203" s="17">
        <f t="shared" ca="1" si="283"/>
        <v>740279.9156562197</v>
      </c>
      <c r="AH203" s="17">
        <f t="shared" ca="1" si="283"/>
        <v>830472.48985061795</v>
      </c>
      <c r="AI203" s="17">
        <f t="shared" ca="1" si="283"/>
        <v>885347.49343372812</v>
      </c>
      <c r="AJ203" s="17">
        <f t="shared" ca="1" si="283"/>
        <v>738999.85694040754</v>
      </c>
      <c r="AK203" s="17">
        <f t="shared" ca="1" si="283"/>
        <v>-617545.00301936688</v>
      </c>
      <c r="AL203" s="17">
        <f t="shared" ca="1" si="283"/>
        <v>999278.94410108216</v>
      </c>
      <c r="AM203" s="17">
        <f t="shared" ca="1" si="283"/>
        <v>1183117.1928852596</v>
      </c>
      <c r="AN203" s="17">
        <f t="shared" ref="AN203" ca="1" si="284">AN193+AN198</f>
        <v>1214818.3761912982</v>
      </c>
      <c r="AO203" s="17">
        <f t="shared" ca="1" si="283"/>
        <v>1247707.8633105785</v>
      </c>
      <c r="AP203" s="17">
        <f t="shared" ca="1" si="283"/>
        <v>1278689.181118527</v>
      </c>
      <c r="AQ203" s="17">
        <f t="shared" ca="1" si="283"/>
        <v>1334062.5242424302</v>
      </c>
      <c r="AR203" s="17">
        <f t="shared" ca="1" si="283"/>
        <v>1391179.1027184927</v>
      </c>
      <c r="AS203" s="17">
        <f t="shared" ca="1" si="283"/>
        <v>1415548.9311924179</v>
      </c>
      <c r="AT203" s="17">
        <f t="shared" ca="1" si="283"/>
        <v>1619220.0956640621</v>
      </c>
      <c r="AU203" s="17">
        <f t="shared" ca="1" si="283"/>
        <v>1280065.1579485065</v>
      </c>
      <c r="AV203" s="17">
        <f t="shared" ca="1" si="283"/>
        <v>1514076.1798807341</v>
      </c>
      <c r="AW203" s="17">
        <f t="shared" ca="1" si="283"/>
        <v>1678417.886023293</v>
      </c>
      <c r="AX203" s="17">
        <f t="shared" ca="1" si="283"/>
        <v>1692200.2174499037</v>
      </c>
      <c r="AY203" s="17">
        <f t="shared" ca="1" si="283"/>
        <v>1715795.0402320945</v>
      </c>
      <c r="AZ203" s="17">
        <f t="shared" ca="1" si="283"/>
        <v>1729043.2167994466</v>
      </c>
      <c r="BA203" s="17">
        <f t="shared" ca="1" si="283"/>
        <v>1693537.0956927161</v>
      </c>
      <c r="BB203" s="17">
        <f t="shared" ca="1" si="283"/>
        <v>1760552.6257496676</v>
      </c>
      <c r="BC203" s="17">
        <f t="shared" ca="1" si="283"/>
        <v>1775305.891175821</v>
      </c>
      <c r="BD203" s="17">
        <f t="shared" ca="1" si="283"/>
        <v>1797446.0723242913</v>
      </c>
      <c r="BE203" s="17">
        <f t="shared" ca="1" si="283"/>
        <v>1843819.7293477408</v>
      </c>
    </row>
    <row r="204" spans="2:57" s="6" customFormat="1" x14ac:dyDescent="0.2">
      <c r="B204" s="18"/>
      <c r="C204" s="6" t="s">
        <v>345</v>
      </c>
      <c r="F204" s="21"/>
      <c r="K204" s="17">
        <f ca="1">SUM(K203:$AB203)</f>
        <v>18137278.001941517</v>
      </c>
      <c r="L204" s="17">
        <f ca="1">SUM(L203:$AB203)</f>
        <v>17863334.889512077</v>
      </c>
      <c r="AA204" s="6" t="str">
        <f t="shared" si="282"/>
        <v>Fluxo de Caixa, após atividades de investimentos - Acumulado</v>
      </c>
      <c r="AB204" s="17">
        <f ca="1">SUM($AB203:AB203)</f>
        <v>-6038310.9364428082</v>
      </c>
      <c r="AC204" s="17">
        <f ca="1">SUM($AB203:AC203)</f>
        <v>-7304051.2199099995</v>
      </c>
      <c r="AD204" s="17">
        <f ca="1">SUM($AB203:AD203)</f>
        <v>-7750783.564388888</v>
      </c>
      <c r="AE204" s="17">
        <f ca="1">SUM($AB203:AE203)</f>
        <v>-8290914.6977234315</v>
      </c>
      <c r="AF204" s="17">
        <f ca="1">SUM($AB203:AF203)</f>
        <v>-9434029.8062999211</v>
      </c>
      <c r="AG204" s="17">
        <f ca="1">SUM($AB203:AG203)</f>
        <v>-8693749.890643701</v>
      </c>
      <c r="AH204" s="17">
        <f ca="1">SUM($AB203:AH203)</f>
        <v>-7863277.400793083</v>
      </c>
      <c r="AI204" s="17">
        <f ca="1">SUM($AB203:AI203)</f>
        <v>-6977929.9073593551</v>
      </c>
      <c r="AJ204" s="17">
        <f ca="1">SUM($AB203:AJ203)</f>
        <v>-6238930.0504189478</v>
      </c>
      <c r="AK204" s="17">
        <f ca="1">SUM($AB203:AK203)</f>
        <v>-6856475.0534383152</v>
      </c>
      <c r="AL204" s="17">
        <f ca="1">SUM($AB203:AL203)</f>
        <v>-5857196.109337233</v>
      </c>
      <c r="AM204" s="17">
        <f ca="1">SUM($AB203:AM203)</f>
        <v>-4674078.9164519738</v>
      </c>
      <c r="AN204" s="17">
        <f ca="1">SUM($AB203:AN203)</f>
        <v>-3459260.5402606754</v>
      </c>
      <c r="AO204" s="17">
        <f ca="1">SUM($AB203:AO203)</f>
        <v>-2211552.6769500971</v>
      </c>
      <c r="AP204" s="17">
        <f ca="1">SUM($AB203:AP203)</f>
        <v>-932863.49583157012</v>
      </c>
      <c r="AQ204" s="17">
        <f ca="1">SUM($AB203:AQ203)</f>
        <v>401199.0284108601</v>
      </c>
      <c r="AR204" s="17">
        <f ca="1">SUM($AB203:AR203)</f>
        <v>1792378.1311293528</v>
      </c>
      <c r="AS204" s="17">
        <f ca="1">SUM($AB203:AS203)</f>
        <v>3207927.0623217709</v>
      </c>
      <c r="AT204" s="17">
        <f ca="1">SUM($AB203:AT203)</f>
        <v>4827147.1579858325</v>
      </c>
      <c r="AU204" s="17">
        <f ca="1">SUM($AB203:AU203)</f>
        <v>6107212.3159343395</v>
      </c>
      <c r="AV204" s="17">
        <f ca="1">SUM($AB203:AV203)</f>
        <v>7621288.4958150741</v>
      </c>
      <c r="AW204" s="17">
        <f ca="1">SUM($AB203:AW203)</f>
        <v>9299706.3818383664</v>
      </c>
      <c r="AX204" s="17">
        <f ca="1">SUM($AB203:AX203)</f>
        <v>10991906.59928827</v>
      </c>
      <c r="AY204" s="17">
        <f ca="1">SUM($AB203:AY203)</f>
        <v>12707701.639520364</v>
      </c>
      <c r="AZ204" s="17">
        <f ca="1">SUM($AB203:AZ203)</f>
        <v>14436744.856319811</v>
      </c>
      <c r="BA204" s="17">
        <f ca="1">SUM($AB203:BA203)</f>
        <v>16130281.952012528</v>
      </c>
      <c r="BB204" s="17">
        <f ca="1">SUM($AB203:BB203)</f>
        <v>17890834.577762194</v>
      </c>
      <c r="BC204" s="17">
        <f ca="1">SUM($AB203:BC203)</f>
        <v>19666140.468938015</v>
      </c>
      <c r="BD204" s="17">
        <f ca="1">SUM($AB203:BD203)</f>
        <v>21463586.541262306</v>
      </c>
      <c r="BE204" s="17">
        <f ca="1">SUM($AB203:BE203)</f>
        <v>23307406.270610046</v>
      </c>
    </row>
    <row r="205" spans="2:57" x14ac:dyDescent="0.2">
      <c r="F205" s="12"/>
      <c r="K205"/>
    </row>
    <row r="206" spans="2:57" x14ac:dyDescent="0.2">
      <c r="C206" s="6" t="s">
        <v>321</v>
      </c>
      <c r="D206" s="6"/>
      <c r="E206" s="6"/>
      <c r="F206" s="21">
        <f ca="1">IRR(AB203:BE203)</f>
        <v>7.7328575024405932E-2</v>
      </c>
      <c r="G206" s="17"/>
      <c r="H206" s="6"/>
      <c r="K206" s="10"/>
      <c r="L206" s="10"/>
      <c r="AB206" s="10"/>
    </row>
    <row r="207" spans="2:57" x14ac:dyDescent="0.2">
      <c r="C207" s="6" t="s">
        <v>304</v>
      </c>
      <c r="D207" s="6"/>
      <c r="E207" s="6"/>
      <c r="F207" s="21">
        <f>$F$220</f>
        <v>7.4999999999999997E-2</v>
      </c>
      <c r="G207" s="17">
        <f ca="1">NPV(F207,AB203:BE203)</f>
        <v>273943.1124294381</v>
      </c>
      <c r="H207" s="6" t="s">
        <v>323</v>
      </c>
      <c r="K207" s="10"/>
      <c r="L207" s="10"/>
      <c r="AB207" s="10"/>
    </row>
    <row r="208" spans="2:57" x14ac:dyDescent="0.2">
      <c r="C208" s="6" t="s">
        <v>304</v>
      </c>
      <c r="D208" s="6"/>
      <c r="E208" s="6"/>
      <c r="F208" s="21">
        <f>$F$221</f>
        <v>0.08</v>
      </c>
      <c r="G208" s="17">
        <f ca="1">NPV(F208,AB203:BE203)</f>
        <v>-298272.21130978462</v>
      </c>
      <c r="H208" s="6" t="s">
        <v>323</v>
      </c>
      <c r="K208"/>
    </row>
    <row r="209" spans="2:57" s="6" customFormat="1" x14ac:dyDescent="0.2">
      <c r="C209" s="6" t="s">
        <v>378</v>
      </c>
      <c r="F209" s="21"/>
      <c r="G209" s="17">
        <f ca="1">MIN(AB204:BE204)</f>
        <v>-9434029.8062999211</v>
      </c>
      <c r="H209" s="6" t="s">
        <v>323</v>
      </c>
      <c r="K209" s="21"/>
    </row>
    <row r="210" spans="2:57" x14ac:dyDescent="0.2">
      <c r="K210"/>
    </row>
    <row r="211" spans="2:57" x14ac:dyDescent="0.2">
      <c r="B211" s="16" t="s">
        <v>294</v>
      </c>
      <c r="C211" t="s">
        <v>425</v>
      </c>
      <c r="F211" s="12"/>
      <c r="K211" s="1">
        <f t="shared" ref="K211" si="285">SUM(K213:K213)</f>
        <v>7500000</v>
      </c>
      <c r="L211" s="1">
        <f t="shared" ref="L211" si="286">SUM(L213:L213)</f>
        <v>0</v>
      </c>
      <c r="AA211" t="str">
        <f>C211</f>
        <v>Financiamento</v>
      </c>
      <c r="AB211" s="1">
        <f>SUM(AB212:AB215)</f>
        <v>3527250</v>
      </c>
      <c r="AC211" s="1">
        <f t="shared" ref="AC211:BE211" si="287">SUM(AC212:AC215)</f>
        <v>3304500</v>
      </c>
      <c r="AD211" s="1">
        <f t="shared" si="287"/>
        <v>-1150950</v>
      </c>
      <c r="AE211" s="1">
        <f t="shared" si="287"/>
        <v>-1106400</v>
      </c>
      <c r="AF211" s="1">
        <f t="shared" si="287"/>
        <v>-1061850</v>
      </c>
      <c r="AG211" s="1">
        <f t="shared" si="287"/>
        <v>-1017300</v>
      </c>
      <c r="AH211" s="1">
        <f t="shared" si="287"/>
        <v>-972750</v>
      </c>
      <c r="AI211" s="1">
        <f t="shared" si="287"/>
        <v>-928200</v>
      </c>
      <c r="AJ211" s="1">
        <f t="shared" si="287"/>
        <v>-883650</v>
      </c>
      <c r="AK211" s="1">
        <f t="shared" si="287"/>
        <v>-839100</v>
      </c>
      <c r="AL211" s="1">
        <f t="shared" si="287"/>
        <v>-794550</v>
      </c>
      <c r="AM211" s="1">
        <f t="shared" si="287"/>
        <v>-750000</v>
      </c>
      <c r="AN211" s="1">
        <f t="shared" ref="AN211" si="288">SUM(AN212:AN215)</f>
        <v>0</v>
      </c>
      <c r="AO211" s="1">
        <f t="shared" si="287"/>
        <v>0</v>
      </c>
      <c r="AP211" s="1">
        <f t="shared" si="287"/>
        <v>0</v>
      </c>
      <c r="AQ211" s="1">
        <f t="shared" si="287"/>
        <v>0</v>
      </c>
      <c r="AR211" s="1">
        <f t="shared" si="287"/>
        <v>0</v>
      </c>
      <c r="AS211" s="1">
        <f t="shared" si="287"/>
        <v>0</v>
      </c>
      <c r="AT211" s="1">
        <f t="shared" si="287"/>
        <v>0</v>
      </c>
      <c r="AU211" s="1">
        <f t="shared" si="287"/>
        <v>0</v>
      </c>
      <c r="AV211" s="1">
        <f t="shared" si="287"/>
        <v>0</v>
      </c>
      <c r="AW211" s="1">
        <f t="shared" si="287"/>
        <v>0</v>
      </c>
      <c r="AX211" s="1">
        <f t="shared" si="287"/>
        <v>0</v>
      </c>
      <c r="AY211" s="1">
        <f t="shared" si="287"/>
        <v>0</v>
      </c>
      <c r="AZ211" s="1">
        <f t="shared" si="287"/>
        <v>0</v>
      </c>
      <c r="BA211" s="1">
        <f t="shared" si="287"/>
        <v>0</v>
      </c>
      <c r="BB211" s="1">
        <f t="shared" si="287"/>
        <v>0</v>
      </c>
      <c r="BC211" s="1">
        <f t="shared" si="287"/>
        <v>0</v>
      </c>
      <c r="BD211" s="1">
        <f t="shared" si="287"/>
        <v>0</v>
      </c>
      <c r="BE211" s="1">
        <f t="shared" si="287"/>
        <v>0</v>
      </c>
    </row>
    <row r="212" spans="2:57" x14ac:dyDescent="0.2">
      <c r="C212" t="s">
        <v>414</v>
      </c>
      <c r="F212" s="12"/>
      <c r="H212" s="10"/>
      <c r="I212">
        <v>1</v>
      </c>
      <c r="J212">
        <v>2</v>
      </c>
      <c r="K212" s="1">
        <v>7500000</v>
      </c>
      <c r="L212" s="1">
        <f>IF(AND($I212&lt;=L$3,L$3&lt;=$J212),PMT($H$213,$J$213,$K$213,0),0)</f>
        <v>0</v>
      </c>
      <c r="AA212" t="str">
        <f>C212</f>
        <v>Liberação</v>
      </c>
      <c r="AB212" s="1">
        <f>IF(AND($I212&lt;=AB$3,AB$3&lt;=$J212),$K212/($J212-$I212+1),0)</f>
        <v>3750000</v>
      </c>
      <c r="AC212" s="1">
        <f t="shared" ref="AC212:BE212" si="289">IF(AND($I212&lt;=AC$3,AC$3&lt;=$J212),$K212/($J212-$I212+1),0)</f>
        <v>3750000</v>
      </c>
      <c r="AD212" s="1">
        <f t="shared" si="289"/>
        <v>0</v>
      </c>
      <c r="AE212" s="1">
        <f t="shared" si="289"/>
        <v>0</v>
      </c>
      <c r="AF212" s="1">
        <f t="shared" si="289"/>
        <v>0</v>
      </c>
      <c r="AG212" s="1">
        <f t="shared" si="289"/>
        <v>0</v>
      </c>
      <c r="AH212" s="1">
        <f t="shared" si="289"/>
        <v>0</v>
      </c>
      <c r="AI212" s="1">
        <f t="shared" si="289"/>
        <v>0</v>
      </c>
      <c r="AJ212" s="1">
        <f t="shared" si="289"/>
        <v>0</v>
      </c>
      <c r="AK212" s="1">
        <f t="shared" si="289"/>
        <v>0</v>
      </c>
      <c r="AL212" s="1">
        <f t="shared" si="289"/>
        <v>0</v>
      </c>
      <c r="AM212" s="1">
        <f t="shared" si="289"/>
        <v>0</v>
      </c>
      <c r="AN212" s="1">
        <f t="shared" si="289"/>
        <v>0</v>
      </c>
      <c r="AO212" s="1">
        <f t="shared" si="289"/>
        <v>0</v>
      </c>
      <c r="AP212" s="1">
        <f t="shared" si="289"/>
        <v>0</v>
      </c>
      <c r="AQ212" s="1">
        <f t="shared" si="289"/>
        <v>0</v>
      </c>
      <c r="AR212" s="1">
        <f t="shared" si="289"/>
        <v>0</v>
      </c>
      <c r="AS212" s="1">
        <f t="shared" si="289"/>
        <v>0</v>
      </c>
      <c r="AT212" s="1">
        <f t="shared" si="289"/>
        <v>0</v>
      </c>
      <c r="AU212" s="1">
        <f t="shared" si="289"/>
        <v>0</v>
      </c>
      <c r="AV212" s="1">
        <f t="shared" si="289"/>
        <v>0</v>
      </c>
      <c r="AW212" s="1">
        <f t="shared" si="289"/>
        <v>0</v>
      </c>
      <c r="AX212" s="1">
        <f t="shared" si="289"/>
        <v>0</v>
      </c>
      <c r="AY212" s="1">
        <f t="shared" si="289"/>
        <v>0</v>
      </c>
      <c r="AZ212" s="1">
        <f t="shared" si="289"/>
        <v>0</v>
      </c>
      <c r="BA212" s="1">
        <f t="shared" si="289"/>
        <v>0</v>
      </c>
      <c r="BB212" s="1">
        <f t="shared" si="289"/>
        <v>0</v>
      </c>
      <c r="BC212" s="1">
        <f t="shared" si="289"/>
        <v>0</v>
      </c>
      <c r="BD212" s="1">
        <f t="shared" si="289"/>
        <v>0</v>
      </c>
      <c r="BE212" s="1">
        <f t="shared" si="289"/>
        <v>0</v>
      </c>
    </row>
    <row r="213" spans="2:57" x14ac:dyDescent="0.2">
      <c r="C213" t="s">
        <v>308</v>
      </c>
      <c r="F213" s="12"/>
      <c r="H213" s="10"/>
      <c r="I213">
        <v>3</v>
      </c>
      <c r="J213">
        <v>12</v>
      </c>
      <c r="K213" s="1">
        <f>K212</f>
        <v>7500000</v>
      </c>
      <c r="L213" s="1">
        <f>IF(AND($I213&lt;=L$3,L$3&lt;=$J213),PMT($H$213,$J$213,$K$213,0),0)</f>
        <v>0</v>
      </c>
      <c r="AA213" t="str">
        <f t="shared" ref="AA213:AA215" si="290">C213</f>
        <v>Amortização</v>
      </c>
      <c r="AB213" s="1">
        <f>IF(AND($I213&lt;=AB$3,AB$3&lt;=$J213),-$K213/($J213-$I213+1),0)</f>
        <v>0</v>
      </c>
      <c r="AC213" s="1">
        <f t="shared" ref="AC213:BE213" si="291">IF(AND($I213&lt;=AC$3,AC$3&lt;=$J213),-$K213/($J213-$I213+1),0)</f>
        <v>0</v>
      </c>
      <c r="AD213" s="1">
        <f t="shared" si="291"/>
        <v>-750000</v>
      </c>
      <c r="AE213" s="1">
        <f t="shared" si="291"/>
        <v>-750000</v>
      </c>
      <c r="AF213" s="1">
        <f t="shared" si="291"/>
        <v>-750000</v>
      </c>
      <c r="AG213" s="1">
        <f t="shared" si="291"/>
        <v>-750000</v>
      </c>
      <c r="AH213" s="1">
        <f t="shared" si="291"/>
        <v>-750000</v>
      </c>
      <c r="AI213" s="1">
        <f t="shared" si="291"/>
        <v>-750000</v>
      </c>
      <c r="AJ213" s="1">
        <f t="shared" si="291"/>
        <v>-750000</v>
      </c>
      <c r="AK213" s="1">
        <f t="shared" si="291"/>
        <v>-750000</v>
      </c>
      <c r="AL213" s="1">
        <f t="shared" si="291"/>
        <v>-750000</v>
      </c>
      <c r="AM213" s="1">
        <f t="shared" si="291"/>
        <v>-750000</v>
      </c>
      <c r="AN213" s="1">
        <f t="shared" si="291"/>
        <v>0</v>
      </c>
      <c r="AO213" s="1">
        <f t="shared" si="291"/>
        <v>0</v>
      </c>
      <c r="AP213" s="1">
        <f t="shared" si="291"/>
        <v>0</v>
      </c>
      <c r="AQ213" s="1">
        <f t="shared" si="291"/>
        <v>0</v>
      </c>
      <c r="AR213" s="1">
        <f t="shared" si="291"/>
        <v>0</v>
      </c>
      <c r="AS213" s="1">
        <f t="shared" si="291"/>
        <v>0</v>
      </c>
      <c r="AT213" s="1">
        <f t="shared" si="291"/>
        <v>0</v>
      </c>
      <c r="AU213" s="1">
        <f t="shared" si="291"/>
        <v>0</v>
      </c>
      <c r="AV213" s="1">
        <f t="shared" si="291"/>
        <v>0</v>
      </c>
      <c r="AW213" s="1">
        <f t="shared" si="291"/>
        <v>0</v>
      </c>
      <c r="AX213" s="1">
        <f t="shared" si="291"/>
        <v>0</v>
      </c>
      <c r="AY213" s="1">
        <f t="shared" si="291"/>
        <v>0</v>
      </c>
      <c r="AZ213" s="1">
        <f t="shared" si="291"/>
        <v>0</v>
      </c>
      <c r="BA213" s="1">
        <f t="shared" si="291"/>
        <v>0</v>
      </c>
      <c r="BB213" s="1">
        <f t="shared" si="291"/>
        <v>0</v>
      </c>
      <c r="BC213" s="1">
        <f t="shared" si="291"/>
        <v>0</v>
      </c>
      <c r="BD213" s="1">
        <f t="shared" si="291"/>
        <v>0</v>
      </c>
      <c r="BE213" s="1">
        <f t="shared" si="291"/>
        <v>0</v>
      </c>
    </row>
    <row r="214" spans="2:57" x14ac:dyDescent="0.2">
      <c r="C214" t="s">
        <v>415</v>
      </c>
      <c r="F214" s="12"/>
      <c r="H214" s="10">
        <v>0.09</v>
      </c>
      <c r="I214">
        <v>3</v>
      </c>
      <c r="J214">
        <v>10</v>
      </c>
      <c r="K214" s="1"/>
      <c r="L214" s="1">
        <f>IF(AND($I214&lt;=L$3,L$3&lt;=$J214),PMT($H$213,$J$213,$K$213,0),0)</f>
        <v>0</v>
      </c>
      <c r="AA214" t="str">
        <f t="shared" si="290"/>
        <v>Pagamento</v>
      </c>
      <c r="AB214" s="1">
        <f>-SUM($AB212:AB212,$AB213:AB213)*$H214</f>
        <v>-337500</v>
      </c>
      <c r="AC214" s="1">
        <f>-SUM($AB212:AC212,$AB213:AC213)*$H214</f>
        <v>-675000</v>
      </c>
      <c r="AD214" s="1">
        <f>-SUM($AB212:AD212,$AB213:AD213)*$H214</f>
        <v>-607500</v>
      </c>
      <c r="AE214" s="1">
        <f>-SUM($AB212:AE212,$AB213:AE213)*$H214</f>
        <v>-540000</v>
      </c>
      <c r="AF214" s="1">
        <f>-SUM($AB212:AF212,$AB213:AF213)*$H214</f>
        <v>-472500</v>
      </c>
      <c r="AG214" s="1">
        <f>-SUM($AB212:AG212,$AB213:AG213)*$H214</f>
        <v>-405000</v>
      </c>
      <c r="AH214" s="1">
        <f>-SUM($AB212:AH212,$AB213:AH213)*$H214</f>
        <v>-337500</v>
      </c>
      <c r="AI214" s="1">
        <f>-SUM($AB212:AI212,$AB213:AI213)*$H214</f>
        <v>-270000</v>
      </c>
      <c r="AJ214" s="1">
        <f>-SUM($AB212:AJ212,$AB213:AJ213)*$H214</f>
        <v>-202500</v>
      </c>
      <c r="AK214" s="1">
        <f>-SUM($AB212:AK212,$AB213:AK213)*$H214</f>
        <v>-135000</v>
      </c>
      <c r="AL214" s="1">
        <f>-SUM($AB212:AL212,$AB213:AL213)*$H214</f>
        <v>-67500</v>
      </c>
      <c r="AM214" s="1">
        <f>-SUM($AB212:AM212,$AB213:AM213)*$H214</f>
        <v>0</v>
      </c>
      <c r="AN214" s="1">
        <f>-SUM($AB212:AN212,$AB213:AN213)*$H214</f>
        <v>0</v>
      </c>
      <c r="AO214" s="1">
        <f>-SUM($AB212:AO212,$AB213:AO213)*$H214</f>
        <v>0</v>
      </c>
      <c r="AP214" s="1">
        <f>-SUM($AB212:AP212,$AB213:AP213)*$H214</f>
        <v>0</v>
      </c>
      <c r="AQ214" s="1">
        <f>-SUM($AB212:AQ212,$AB213:AQ213)*$H214</f>
        <v>0</v>
      </c>
      <c r="AR214" s="1">
        <f>-SUM($AB212:AR212,$AB213:AR213)*$H214</f>
        <v>0</v>
      </c>
      <c r="AS214" s="1">
        <f>-SUM($AB212:AS212,$AB213:AS213)*$H214</f>
        <v>0</v>
      </c>
      <c r="AT214" s="1">
        <f>-SUM($AB212:AT212,$AB213:AT213)*$H214</f>
        <v>0</v>
      </c>
      <c r="AU214" s="1">
        <f>-SUM($AB212:AU212,$AB213:AU213)*$H214</f>
        <v>0</v>
      </c>
      <c r="AV214" s="1">
        <f>-SUM($AB212:AV212,$AB213:AV213)*$H214</f>
        <v>0</v>
      </c>
      <c r="AW214" s="1">
        <f>-SUM($AB212:AW212,$AB213:AW213)*$H214</f>
        <v>0</v>
      </c>
      <c r="AX214" s="1">
        <f>-SUM($AB212:AX212,$AB213:AX213)*$H214</f>
        <v>0</v>
      </c>
      <c r="AY214" s="1">
        <f>-SUM($AB212:AY212,$AB213:AY213)*$H214</f>
        <v>0</v>
      </c>
      <c r="AZ214" s="1">
        <f>-SUM($AB212:AZ212,$AB213:AZ213)*$H214</f>
        <v>0</v>
      </c>
      <c r="BA214" s="1">
        <f>-SUM($AB212:BA212,$AB213:BA213)*$H214</f>
        <v>0</v>
      </c>
      <c r="BB214" s="1">
        <f>-SUM($AB212:BB212,$AB213:BB213)*$H214</f>
        <v>0</v>
      </c>
      <c r="BC214" s="1">
        <f>-SUM($AB212:BC212,$AB213:BC213)*$H214</f>
        <v>0</v>
      </c>
      <c r="BD214" s="1">
        <f>-SUM($AB212:BD212,$AB213:BD213)*$H214</f>
        <v>0</v>
      </c>
      <c r="BE214" s="1">
        <f>-SUM($AB212:BE212,$AB213:BE213)*$H214</f>
        <v>0</v>
      </c>
    </row>
    <row r="215" spans="2:57" x14ac:dyDescent="0.2">
      <c r="C215" t="s">
        <v>416</v>
      </c>
      <c r="F215" s="12"/>
      <c r="H215" s="10"/>
      <c r="K215" s="1"/>
      <c r="L215" s="1">
        <f>IF(AND($I215&lt;=L$3,L$3&lt;=$J215),PMT($H$213,$J$213,$K$213,0),0)</f>
        <v>0</v>
      </c>
      <c r="AA215" t="str">
        <f t="shared" si="290"/>
        <v>Créditos IR/CSLL sobre Juros</v>
      </c>
      <c r="AB215" s="1">
        <f>-AB214*34%</f>
        <v>114750.00000000001</v>
      </c>
      <c r="AC215" s="1">
        <f t="shared" ref="AC215:BE215" si="292">-AC214*34%</f>
        <v>229500.00000000003</v>
      </c>
      <c r="AD215" s="1">
        <f t="shared" si="292"/>
        <v>206550.00000000003</v>
      </c>
      <c r="AE215" s="1">
        <f t="shared" si="292"/>
        <v>183600</v>
      </c>
      <c r="AF215" s="1">
        <f t="shared" si="292"/>
        <v>160650</v>
      </c>
      <c r="AG215" s="1">
        <f t="shared" si="292"/>
        <v>137700</v>
      </c>
      <c r="AH215" s="1">
        <f t="shared" si="292"/>
        <v>114750.00000000001</v>
      </c>
      <c r="AI215" s="1">
        <f t="shared" si="292"/>
        <v>91800</v>
      </c>
      <c r="AJ215" s="1">
        <f t="shared" si="292"/>
        <v>68850</v>
      </c>
      <c r="AK215" s="1">
        <f t="shared" si="292"/>
        <v>45900</v>
      </c>
      <c r="AL215" s="1">
        <f t="shared" si="292"/>
        <v>22950</v>
      </c>
      <c r="AM215" s="1">
        <f t="shared" si="292"/>
        <v>0</v>
      </c>
      <c r="AN215" s="1">
        <f t="shared" ref="AN215" si="293">-AN214*34%</f>
        <v>0</v>
      </c>
      <c r="AO215" s="1">
        <f t="shared" si="292"/>
        <v>0</v>
      </c>
      <c r="AP215" s="1">
        <f t="shared" si="292"/>
        <v>0</v>
      </c>
      <c r="AQ215" s="1">
        <f t="shared" si="292"/>
        <v>0</v>
      </c>
      <c r="AR215" s="1">
        <f t="shared" si="292"/>
        <v>0</v>
      </c>
      <c r="AS215" s="1">
        <f t="shared" si="292"/>
        <v>0</v>
      </c>
      <c r="AT215" s="1">
        <f t="shared" si="292"/>
        <v>0</v>
      </c>
      <c r="AU215" s="1">
        <f t="shared" si="292"/>
        <v>0</v>
      </c>
      <c r="AV215" s="1">
        <f t="shared" si="292"/>
        <v>0</v>
      </c>
      <c r="AW215" s="1">
        <f t="shared" si="292"/>
        <v>0</v>
      </c>
      <c r="AX215" s="1">
        <f t="shared" si="292"/>
        <v>0</v>
      </c>
      <c r="AY215" s="1">
        <f t="shared" si="292"/>
        <v>0</v>
      </c>
      <c r="AZ215" s="1">
        <f t="shared" si="292"/>
        <v>0</v>
      </c>
      <c r="BA215" s="1">
        <f t="shared" si="292"/>
        <v>0</v>
      </c>
      <c r="BB215" s="1">
        <f t="shared" si="292"/>
        <v>0</v>
      </c>
      <c r="BC215" s="1">
        <f t="shared" si="292"/>
        <v>0</v>
      </c>
      <c r="BD215" s="1">
        <f t="shared" si="292"/>
        <v>0</v>
      </c>
      <c r="BE215" s="1">
        <f t="shared" si="292"/>
        <v>0</v>
      </c>
    </row>
    <row r="216" spans="2:57" s="6" customFormat="1" x14ac:dyDescent="0.2">
      <c r="B216" s="18" t="s">
        <v>292</v>
      </c>
      <c r="C216" s="6" t="s">
        <v>320</v>
      </c>
      <c r="F216" s="21"/>
      <c r="K216" s="17">
        <f t="shared" ref="K216" ca="1" si="294">K203+K211</f>
        <v>7773943.11242944</v>
      </c>
      <c r="L216" s="17">
        <f t="shared" ref="L216" ca="1" si="295">L203+L211</f>
        <v>23901645.825954884</v>
      </c>
      <c r="AA216" s="6" t="str">
        <f t="shared" ref="AA216:AA217" si="296">C216</f>
        <v>Fluxo de Caixa, após atividades de financiamento</v>
      </c>
      <c r="AB216" s="17">
        <f t="shared" ref="AB216:BE216" ca="1" si="297">AB203+AB211</f>
        <v>-2511060.9364428082</v>
      </c>
      <c r="AC216" s="17">
        <f t="shared" ca="1" si="297"/>
        <v>2038759.7165328092</v>
      </c>
      <c r="AD216" s="17">
        <f t="shared" ca="1" si="297"/>
        <v>-1597682.3444788887</v>
      </c>
      <c r="AE216" s="17">
        <f t="shared" ca="1" si="297"/>
        <v>-1646531.1333345436</v>
      </c>
      <c r="AF216" s="17">
        <f t="shared" ca="1" si="297"/>
        <v>-2204965.1085764901</v>
      </c>
      <c r="AG216" s="17">
        <f t="shared" ca="1" si="297"/>
        <v>-277020.0843437803</v>
      </c>
      <c r="AH216" s="17">
        <f t="shared" ca="1" si="297"/>
        <v>-142277.51014938205</v>
      </c>
      <c r="AI216" s="17">
        <f t="shared" ca="1" si="297"/>
        <v>-42852.506566271884</v>
      </c>
      <c r="AJ216" s="17">
        <f t="shared" ca="1" si="297"/>
        <v>-144650.14305959246</v>
      </c>
      <c r="AK216" s="17">
        <f t="shared" ca="1" si="297"/>
        <v>-1456645.0030193669</v>
      </c>
      <c r="AL216" s="17">
        <f t="shared" ca="1" si="297"/>
        <v>204728.94410108216</v>
      </c>
      <c r="AM216" s="17">
        <f t="shared" ca="1" si="297"/>
        <v>433117.19288525963</v>
      </c>
      <c r="AN216" s="17">
        <f t="shared" ref="AN216" ca="1" si="298">AN203+AN211</f>
        <v>1214818.3761912982</v>
      </c>
      <c r="AO216" s="17">
        <f t="shared" ca="1" si="297"/>
        <v>1247707.8633105785</v>
      </c>
      <c r="AP216" s="17">
        <f t="shared" ca="1" si="297"/>
        <v>1278689.181118527</v>
      </c>
      <c r="AQ216" s="17">
        <f t="shared" ca="1" si="297"/>
        <v>1334062.5242424302</v>
      </c>
      <c r="AR216" s="17">
        <f t="shared" ca="1" si="297"/>
        <v>1391179.1027184927</v>
      </c>
      <c r="AS216" s="17">
        <f t="shared" ca="1" si="297"/>
        <v>1415548.9311924179</v>
      </c>
      <c r="AT216" s="17">
        <f t="shared" ca="1" si="297"/>
        <v>1619220.0956640621</v>
      </c>
      <c r="AU216" s="17">
        <f t="shared" ca="1" si="297"/>
        <v>1280065.1579485065</v>
      </c>
      <c r="AV216" s="17">
        <f t="shared" ca="1" si="297"/>
        <v>1514076.1798807341</v>
      </c>
      <c r="AW216" s="17">
        <f t="shared" ca="1" si="297"/>
        <v>1678417.886023293</v>
      </c>
      <c r="AX216" s="17">
        <f t="shared" ca="1" si="297"/>
        <v>1692200.2174499037</v>
      </c>
      <c r="AY216" s="17">
        <f t="shared" ca="1" si="297"/>
        <v>1715795.0402320945</v>
      </c>
      <c r="AZ216" s="17">
        <f t="shared" ca="1" si="297"/>
        <v>1729043.2167994466</v>
      </c>
      <c r="BA216" s="17">
        <f t="shared" ca="1" si="297"/>
        <v>1693537.0956927161</v>
      </c>
      <c r="BB216" s="17">
        <f t="shared" ca="1" si="297"/>
        <v>1760552.6257496676</v>
      </c>
      <c r="BC216" s="17">
        <f t="shared" ca="1" si="297"/>
        <v>1775305.891175821</v>
      </c>
      <c r="BD216" s="17">
        <f t="shared" ca="1" si="297"/>
        <v>1797446.0723242913</v>
      </c>
      <c r="BE216" s="17">
        <f t="shared" ca="1" si="297"/>
        <v>1843819.7293477408</v>
      </c>
    </row>
    <row r="217" spans="2:57" x14ac:dyDescent="0.2">
      <c r="C217" s="6" t="s">
        <v>346</v>
      </c>
      <c r="F217" s="12"/>
      <c r="G217" s="1"/>
      <c r="K217" s="17">
        <f ca="1">SUM(K216:$AB216)</f>
        <v>29164528.001941517</v>
      </c>
      <c r="L217" s="17">
        <f ca="1">SUM(L216:$AB216)</f>
        <v>21390584.889512077</v>
      </c>
      <c r="AA217" s="6" t="str">
        <f t="shared" si="296"/>
        <v>Fluxo de Caixa, após atividades de financiamento - Acumulado</v>
      </c>
      <c r="AB217" s="17">
        <f ca="1">SUM($AB216:AB216)</f>
        <v>-2511060.9364428082</v>
      </c>
      <c r="AC217" s="17">
        <f ca="1">SUM($AB216:AC216)</f>
        <v>-472301.21990999905</v>
      </c>
      <c r="AD217" s="17">
        <f ca="1">SUM($AB216:AD216)</f>
        <v>-2069983.5643888877</v>
      </c>
      <c r="AE217" s="17">
        <f ca="1">SUM($AB216:AE216)</f>
        <v>-3716514.6977234315</v>
      </c>
      <c r="AF217" s="17">
        <f ca="1">SUM($AB216:AF216)</f>
        <v>-5921479.8062999211</v>
      </c>
      <c r="AG217" s="17">
        <f ca="1">SUM($AB216:AG216)</f>
        <v>-6198499.890643701</v>
      </c>
      <c r="AH217" s="17">
        <f ca="1">SUM($AB216:AH216)</f>
        <v>-6340777.400793083</v>
      </c>
      <c r="AI217" s="17">
        <f ca="1">SUM($AB216:AI216)</f>
        <v>-6383629.9073593551</v>
      </c>
      <c r="AJ217" s="17">
        <f ca="1">SUM($AB216:AJ216)</f>
        <v>-6528280.0504189478</v>
      </c>
      <c r="AK217" s="17">
        <f ca="1">SUM($AB216:AK216)</f>
        <v>-7984925.0534383152</v>
      </c>
      <c r="AL217" s="17">
        <f ca="1">SUM($AB216:AL216)</f>
        <v>-7780196.109337233</v>
      </c>
      <c r="AM217" s="17">
        <f ca="1">SUM($AB216:AM216)</f>
        <v>-7347078.9164519738</v>
      </c>
      <c r="AN217" s="17">
        <f ca="1">SUM($AB216:AN216)</f>
        <v>-6132260.5402606754</v>
      </c>
      <c r="AO217" s="17">
        <f ca="1">SUM($AB216:AO216)</f>
        <v>-4884552.6769500971</v>
      </c>
      <c r="AP217" s="17">
        <f ca="1">SUM($AB216:AP216)</f>
        <v>-3605863.4958315701</v>
      </c>
      <c r="AQ217" s="17">
        <f ca="1">SUM($AB216:AQ216)</f>
        <v>-2271800.9715891397</v>
      </c>
      <c r="AR217" s="17">
        <f ca="1">SUM($AB216:AR216)</f>
        <v>-880621.86887064693</v>
      </c>
      <c r="AS217" s="17">
        <f ca="1">SUM($AB216:AS216)</f>
        <v>534927.06232177094</v>
      </c>
      <c r="AT217" s="17">
        <f ca="1">SUM($AB216:AT216)</f>
        <v>2154147.157985833</v>
      </c>
      <c r="AU217" s="17">
        <f ca="1">SUM($AB216:AU216)</f>
        <v>3434212.3159343395</v>
      </c>
      <c r="AV217" s="17">
        <f ca="1">SUM($AB216:AV216)</f>
        <v>4948288.4958150741</v>
      </c>
      <c r="AW217" s="17">
        <f ca="1">SUM($AB216:AW216)</f>
        <v>6626706.3818383673</v>
      </c>
      <c r="AX217" s="17">
        <f ca="1">SUM($AB216:AX216)</f>
        <v>8318906.5992882708</v>
      </c>
      <c r="AY217" s="17">
        <f ca="1">SUM($AB216:AY216)</f>
        <v>10034701.639520366</v>
      </c>
      <c r="AZ217" s="17">
        <f ca="1">SUM($AB216:AZ216)</f>
        <v>11763744.856319813</v>
      </c>
      <c r="BA217" s="17">
        <f ca="1">SUM($AB216:BA216)</f>
        <v>13457281.95201253</v>
      </c>
      <c r="BB217" s="17">
        <f ca="1">SUM($AB216:BB216)</f>
        <v>15217834.577762198</v>
      </c>
      <c r="BC217" s="17">
        <f ca="1">SUM($AB216:BC216)</f>
        <v>16993140.468938019</v>
      </c>
      <c r="BD217" s="17">
        <f ca="1">SUM($AB216:BD216)</f>
        <v>18790586.54126231</v>
      </c>
      <c r="BE217" s="17">
        <f ca="1">SUM($AB216:BE216)</f>
        <v>20634406.270610049</v>
      </c>
    </row>
    <row r="218" spans="2:57" x14ac:dyDescent="0.2">
      <c r="C218" s="6"/>
      <c r="F218" s="12"/>
      <c r="G218" s="1"/>
      <c r="AA218" s="6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</row>
    <row r="219" spans="2:57" s="6" customFormat="1" x14ac:dyDescent="0.2">
      <c r="C219" s="6" t="s">
        <v>321</v>
      </c>
      <c r="F219" s="21">
        <f ca="1">IRR(AB216:BE216)</f>
        <v>8.2124937523725405E-2</v>
      </c>
      <c r="G219" s="24" t="s">
        <v>322</v>
      </c>
      <c r="K219" s="21"/>
      <c r="AA219" s="2" t="s">
        <v>417</v>
      </c>
      <c r="AB219" s="2">
        <f t="shared" ref="AB219:AK219" ca="1" si="299">IFERROR(-AB177/SUM(AB213:AB214),"nd")</f>
        <v>5.1621388905814412</v>
      </c>
      <c r="AC219" s="2">
        <f t="shared" ca="1" si="299"/>
        <v>2.8045790277121867</v>
      </c>
      <c r="AD219" s="2">
        <f t="shared" ca="1" si="299"/>
        <v>1.5003194940784852</v>
      </c>
      <c r="AE219" s="2">
        <f t="shared" ca="1" si="299"/>
        <v>1.5830181599037896</v>
      </c>
      <c r="AF219" s="2">
        <f t="shared" ca="1" si="299"/>
        <v>1.7881318065967364</v>
      </c>
      <c r="AG219" s="2">
        <f t="shared" ca="1" si="299"/>
        <v>2.0387808239507788</v>
      </c>
      <c r="AH219" s="2">
        <f t="shared" ca="1" si="299"/>
        <v>2.2198529285987418</v>
      </c>
      <c r="AI219" s="2">
        <f t="shared" ca="1" si="299"/>
        <v>2.4255707010633465</v>
      </c>
      <c r="AJ219" s="2">
        <f t="shared" ca="1" si="299"/>
        <v>2.6599232302468061</v>
      </c>
      <c r="AK219" s="2">
        <f t="shared" ca="1" si="299"/>
        <v>2.9366529712405867</v>
      </c>
      <c r="AL219" s="2">
        <f t="shared" ref="AL219:BE219" ca="1" si="300">IFERROR(-AL177/SUM(AL213:AL214),"nd")</f>
        <v>3.2243096913924885</v>
      </c>
      <c r="AM219" s="2">
        <f t="shared" ca="1" si="300"/>
        <v>3.5585409825087924</v>
      </c>
      <c r="AN219" s="2" t="str">
        <f t="shared" ref="AN219" ca="1" si="301">IFERROR(-AN177/SUM(AN213:AN214),"nd")</f>
        <v>nd</v>
      </c>
      <c r="AO219" s="2" t="str">
        <f t="shared" ca="1" si="300"/>
        <v>nd</v>
      </c>
      <c r="AP219" s="2" t="str">
        <f t="shared" ca="1" si="300"/>
        <v>nd</v>
      </c>
      <c r="AQ219" s="2" t="str">
        <f t="shared" ca="1" si="300"/>
        <v>nd</v>
      </c>
      <c r="AR219" s="2" t="str">
        <f t="shared" ca="1" si="300"/>
        <v>nd</v>
      </c>
      <c r="AS219" s="2" t="str">
        <f t="shared" ca="1" si="300"/>
        <v>nd</v>
      </c>
      <c r="AT219" s="2" t="str">
        <f t="shared" ca="1" si="300"/>
        <v>nd</v>
      </c>
      <c r="AU219" s="2" t="str">
        <f t="shared" ca="1" si="300"/>
        <v>nd</v>
      </c>
      <c r="AV219" s="2" t="str">
        <f t="shared" ca="1" si="300"/>
        <v>nd</v>
      </c>
      <c r="AW219" s="2" t="str">
        <f t="shared" ca="1" si="300"/>
        <v>nd</v>
      </c>
      <c r="AX219" s="2" t="str">
        <f t="shared" ca="1" si="300"/>
        <v>nd</v>
      </c>
      <c r="AY219" s="2" t="str">
        <f t="shared" ca="1" si="300"/>
        <v>nd</v>
      </c>
      <c r="AZ219" s="2" t="str">
        <f t="shared" ca="1" si="300"/>
        <v>nd</v>
      </c>
      <c r="BA219" s="2" t="str">
        <f t="shared" ca="1" si="300"/>
        <v>nd</v>
      </c>
      <c r="BB219" s="2" t="str">
        <f t="shared" ca="1" si="300"/>
        <v>nd</v>
      </c>
      <c r="BC219" s="2" t="str">
        <f t="shared" ca="1" si="300"/>
        <v>nd</v>
      </c>
      <c r="BD219" s="2" t="str">
        <f t="shared" ca="1" si="300"/>
        <v>nd</v>
      </c>
      <c r="BE219" s="2" t="str">
        <f t="shared" ca="1" si="300"/>
        <v>nd</v>
      </c>
    </row>
    <row r="220" spans="2:57" x14ac:dyDescent="0.2">
      <c r="C220" s="6" t="s">
        <v>304</v>
      </c>
      <c r="D220" s="6"/>
      <c r="E220" s="6"/>
      <c r="F220" s="21">
        <v>7.4999999999999997E-2</v>
      </c>
      <c r="G220" s="17">
        <f ca="1">NPV(F220,AB216:BE216)</f>
        <v>612540.77815662173</v>
      </c>
      <c r="H220" s="6" t="s">
        <v>323</v>
      </c>
      <c r="AB220" s="2">
        <v>1.3</v>
      </c>
      <c r="AC220" s="2">
        <v>1.3</v>
      </c>
      <c r="AD220" s="2">
        <v>1.3</v>
      </c>
      <c r="AE220" s="2">
        <v>1.3</v>
      </c>
      <c r="AF220" s="2">
        <v>1.3</v>
      </c>
      <c r="AG220" s="2">
        <v>1.3</v>
      </c>
      <c r="AH220" s="2">
        <v>1.3</v>
      </c>
      <c r="AI220" s="2">
        <v>1.3</v>
      </c>
      <c r="AJ220" s="2">
        <v>1.3</v>
      </c>
      <c r="AK220" s="2">
        <v>1.3</v>
      </c>
    </row>
    <row r="221" spans="2:57" x14ac:dyDescent="0.2">
      <c r="C221" s="6" t="s">
        <v>304</v>
      </c>
      <c r="D221" s="6"/>
      <c r="E221" s="6"/>
      <c r="F221" s="21">
        <v>0.08</v>
      </c>
      <c r="G221" s="17">
        <f ca="1">NPV(F221,AB216:BE216)</f>
        <v>171746.35535026315</v>
      </c>
      <c r="H221" s="6" t="s">
        <v>323</v>
      </c>
    </row>
    <row r="222" spans="2:57" s="6" customFormat="1" x14ac:dyDescent="0.2">
      <c r="C222" s="6" t="s">
        <v>378</v>
      </c>
      <c r="F222" s="21"/>
      <c r="G222" s="17">
        <f ca="1">MIN(AB217:BE217)</f>
        <v>-7984925.0534383152</v>
      </c>
      <c r="H222" s="6" t="s">
        <v>323</v>
      </c>
      <c r="K222" s="21"/>
    </row>
    <row r="223" spans="2:57" x14ac:dyDescent="0.2">
      <c r="F223" s="12"/>
      <c r="G223" s="1"/>
    </row>
    <row r="224" spans="2:57" x14ac:dyDescent="0.2">
      <c r="B224" s="4" t="s">
        <v>307</v>
      </c>
    </row>
    <row r="226" spans="2:57" x14ac:dyDescent="0.2">
      <c r="C226" t="s">
        <v>305</v>
      </c>
      <c r="AB226" s="1">
        <f t="shared" ref="AB226:BE226" si="302">-AB198</f>
        <v>7270577.2498177588</v>
      </c>
      <c r="AC226" s="1">
        <f t="shared" si="302"/>
        <v>2623465.1617595414</v>
      </c>
      <c r="AD226" s="1">
        <f t="shared" si="302"/>
        <v>1916476.5766109901</v>
      </c>
      <c r="AE226" s="1">
        <f t="shared" si="302"/>
        <v>2031948.4182951781</v>
      </c>
      <c r="AF226" s="1">
        <f t="shared" si="302"/>
        <v>2755990.6912592496</v>
      </c>
      <c r="AG226" s="1">
        <f t="shared" si="302"/>
        <v>989418.54458630225</v>
      </c>
      <c r="AH226" s="1">
        <f t="shared" si="302"/>
        <v>943140.33249030588</v>
      </c>
      <c r="AI226" s="1">
        <f t="shared" si="302"/>
        <v>932441.30064043147</v>
      </c>
      <c r="AJ226" s="1">
        <f t="shared" si="302"/>
        <v>1124815.052660147</v>
      </c>
      <c r="AK226" s="1">
        <f t="shared" si="302"/>
        <v>2547850.4277136507</v>
      </c>
      <c r="AL226" s="1">
        <f t="shared" si="302"/>
        <v>959531.20770781185</v>
      </c>
      <c r="AM226" s="1">
        <f t="shared" si="302"/>
        <v>799746.07468043105</v>
      </c>
      <c r="AN226" s="1">
        <f t="shared" ref="AN226" si="303">-AN198</f>
        <v>792154.06164423516</v>
      </c>
      <c r="AO226" s="1">
        <f t="shared" si="302"/>
        <v>783140.87004485517</v>
      </c>
      <c r="AP226" s="1">
        <f t="shared" si="302"/>
        <v>775611.69678523403</v>
      </c>
      <c r="AQ226" s="1">
        <f t="shared" si="302"/>
        <v>743738.14429482748</v>
      </c>
      <c r="AR226" s="1">
        <f t="shared" si="302"/>
        <v>696911.29637021036</v>
      </c>
      <c r="AS226" s="1">
        <f t="shared" si="302"/>
        <v>682802.78010466858</v>
      </c>
      <c r="AT226" s="1">
        <f t="shared" si="302"/>
        <v>486522.42495437618</v>
      </c>
      <c r="AU226" s="1">
        <f t="shared" si="302"/>
        <v>837942.85962940659</v>
      </c>
      <c r="AV226" s="1">
        <f t="shared" si="302"/>
        <v>613734.3485034206</v>
      </c>
      <c r="AW226" s="1">
        <f t="shared" si="302"/>
        <v>456591.19369391754</v>
      </c>
      <c r="AX226" s="1">
        <f t="shared" si="302"/>
        <v>450288.19046136527</v>
      </c>
      <c r="AY226" s="1">
        <f t="shared" si="302"/>
        <v>434132.14084203029</v>
      </c>
      <c r="AZ226" s="1">
        <f t="shared" si="302"/>
        <v>428963.74489798414</v>
      </c>
      <c r="BA226" s="1">
        <f t="shared" si="302"/>
        <v>474637.33209343255</v>
      </c>
      <c r="BB226" s="1">
        <f t="shared" si="302"/>
        <v>419250.3018835769</v>
      </c>
      <c r="BC226" s="1">
        <f t="shared" si="302"/>
        <v>419250.3018835769</v>
      </c>
      <c r="BD226" s="1">
        <f t="shared" si="302"/>
        <v>419250.3018835769</v>
      </c>
      <c r="BE226" s="1">
        <f t="shared" si="302"/>
        <v>419250.3018835769</v>
      </c>
    </row>
    <row r="227" spans="2:57" x14ac:dyDescent="0.2">
      <c r="C227" t="s">
        <v>308</v>
      </c>
      <c r="AB227" s="1">
        <f>+SUMPRODUCT($AB226:AB226,$AB230:AB230)</f>
        <v>242352.57499392529</v>
      </c>
      <c r="AC227" s="1">
        <f>+SUMPRODUCT($AB226:AC226,$AB230:AC230)</f>
        <v>332816.89091666811</v>
      </c>
      <c r="AD227" s="1">
        <f>+SUMPRODUCT($AB226:AD226,$AB230:AD230)</f>
        <v>401262.48293848918</v>
      </c>
      <c r="AE227" s="1">
        <f>+SUMPRODUCT($AB226:AE226,$AB230:AE230)</f>
        <v>476519.8317642365</v>
      </c>
      <c r="AF227" s="1">
        <f>+SUMPRODUCT($AB226:AF226,$AB230:AF230)</f>
        <v>582519.47373574611</v>
      </c>
      <c r="AG227" s="1">
        <f>+SUMPRODUCT($AB226:AG226,$AB230:AG230)</f>
        <v>622096.21551919822</v>
      </c>
      <c r="AH227" s="1">
        <f>+SUMPRODUCT($AB226:AH226,$AB230:AH230)</f>
        <v>661393.72937296098</v>
      </c>
      <c r="AI227" s="1">
        <f>+SUMPRODUCT($AB226:AI226,$AB230:AI230)</f>
        <v>701934.6554877623</v>
      </c>
      <c r="AJ227" s="1">
        <f>+SUMPRODUCT($AB226:AJ226,$AB230:AJ230)</f>
        <v>753062.61242685991</v>
      </c>
      <c r="AK227" s="1">
        <f>+SUMPRODUCT($AB226:AK226,$AB230:AK230)</f>
        <v>874388.82327036711</v>
      </c>
      <c r="AL227" s="1">
        <f>+SUMPRODUCT($AB226:AL226,$AB230:AL230)</f>
        <v>922365.38365575764</v>
      </c>
      <c r="AM227" s="1">
        <f>+SUMPRODUCT($AB226:AM226,$AB230:AM230)</f>
        <v>964457.2823231488</v>
      </c>
      <c r="AN227" s="1">
        <f>+SUMPRODUCT($AB226:AN226,$AB230:AN230)</f>
        <v>1008465.841303384</v>
      </c>
      <c r="AO227" s="1">
        <f>+SUMPRODUCT($AB226:AO226,$AB230:AO230)</f>
        <v>1054532.9513060227</v>
      </c>
      <c r="AP227" s="1">
        <f>+SUMPRODUCT($AB226:AP226,$AB230:AP230)</f>
        <v>1103008.6823550998</v>
      </c>
      <c r="AQ227" s="1">
        <f>+SUMPRODUCT($AB226:AQ226,$AB230:AQ230)</f>
        <v>1152591.2253080884</v>
      </c>
      <c r="AR227" s="1">
        <f>+SUMPRODUCT($AB226:AR226,$AB230:AR230)</f>
        <v>1202370.6036202463</v>
      </c>
      <c r="AS227" s="1">
        <f>+SUMPRODUCT($AB226:AS226,$AB230:AS230)</f>
        <v>1254893.8943975284</v>
      </c>
      <c r="AT227" s="1">
        <f>+SUMPRODUCT($AB226:AT226,$AB230:AT230)</f>
        <v>1295437.4298103931</v>
      </c>
      <c r="AU227" s="1">
        <f>+SUMPRODUCT($AB226:AU226,$AB230:AU230)</f>
        <v>1371614.0534130665</v>
      </c>
      <c r="AV227" s="1">
        <f>+SUMPRODUCT($AB226:AV226,$AB230:AV230)</f>
        <v>1432987.4882634087</v>
      </c>
      <c r="AW227" s="1">
        <f>+SUMPRODUCT($AB226:AW226,$AB230:AW230)</f>
        <v>1483719.8431182883</v>
      </c>
      <c r="AX227" s="1">
        <f>+SUMPRODUCT($AB226:AX226,$AB230:AX230)</f>
        <v>1540005.866925959</v>
      </c>
      <c r="AY227" s="1">
        <f>+SUMPRODUCT($AB226:AY226,$AB230:AY230)</f>
        <v>1602024.7441891062</v>
      </c>
      <c r="AZ227" s="1">
        <f>+SUMPRODUCT($AB226:AZ226,$AB230:AZ230)</f>
        <v>1673518.7016721035</v>
      </c>
      <c r="BA227" s="1">
        <f>+SUMPRODUCT($AB226:BA226,$AB230:BA230)</f>
        <v>1768446.16809079</v>
      </c>
      <c r="BB227" s="1">
        <f>+SUMPRODUCT($AB226:BB226,$AB230:BB230)</f>
        <v>1873258.7435616842</v>
      </c>
      <c r="BC227" s="1">
        <f>+SUMPRODUCT($AB226:BC226,$AB230:BC230)</f>
        <v>2013008.844189543</v>
      </c>
      <c r="BD227" s="1">
        <f>+SUMPRODUCT($AB226:BD226,$AB230:BD230)</f>
        <v>2222633.9951313315</v>
      </c>
      <c r="BE227" s="1">
        <f>+SUMPRODUCT($AB226:BE226,$AB230:BE230)</f>
        <v>2641884.2970149084</v>
      </c>
    </row>
    <row r="228" spans="2:57" x14ac:dyDescent="0.2">
      <c r="C228" t="s">
        <v>324</v>
      </c>
      <c r="AB228" s="1" cm="1">
        <f t="array" ref="AB228">SUM($AB226:AB226,-$AB227:AB227)</f>
        <v>7028224.6748238336</v>
      </c>
      <c r="AC228" s="1" cm="1">
        <f t="array" ref="AC228">SUM($AB226:AC226,-$AB227:AC227)</f>
        <v>9318872.9456667062</v>
      </c>
      <c r="AD228" s="1" cm="1">
        <f t="array" ref="AD228">SUM($AB226:AD226,-$AB227:AD227)</f>
        <v>10834087.039339207</v>
      </c>
      <c r="AE228" s="1" cm="1">
        <f t="array" ref="AE228">SUM($AB226:AE226,-$AB227:AE227)</f>
        <v>12389515.62587015</v>
      </c>
      <c r="AF228" s="1" cm="1">
        <f t="array" ref="AF228">SUM($AB226:AF226,-$AB227:AF227)</f>
        <v>14562986.843393654</v>
      </c>
      <c r="AG228" s="1" cm="1">
        <f t="array" ref="AG228">SUM($AB226:AG226,-$AB227:AG227)</f>
        <v>14930309.172460753</v>
      </c>
      <c r="AH228" s="1" cm="1">
        <f t="array" ref="AH228">SUM($AB226:AH226,-$AB227:AH227)</f>
        <v>15212055.775578098</v>
      </c>
      <c r="AI228" s="1" cm="1">
        <f t="array" ref="AI228">SUM($AB226:AI226,-$AB227:AI227)</f>
        <v>15442562.420730766</v>
      </c>
      <c r="AJ228" s="1" cm="1">
        <f t="array" ref="AJ228">SUM($AB226:AJ226,-$AB227:AJ227)</f>
        <v>15814314.860964056</v>
      </c>
      <c r="AK228" s="1" cm="1">
        <f t="array" ref="AK228">SUM($AB226:AK226,-$AB227:AK227)</f>
        <v>17487776.465407345</v>
      </c>
      <c r="AL228" s="1" cm="1">
        <f t="array" ref="AL228">SUM($AB226:AL226,-$AB227:AL227)</f>
        <v>17524942.2894594</v>
      </c>
      <c r="AM228" s="1" cm="1">
        <f t="array" ref="AM228">SUM($AB226:AM226,-$AB227:AM227)</f>
        <v>17360231.081816684</v>
      </c>
      <c r="AN228" s="1" cm="1">
        <f t="array" ref="AN228">SUM($AB226:AN226,-$AB227:AN227)</f>
        <v>17143919.302157532</v>
      </c>
      <c r="AO228" s="1" cm="1">
        <f t="array" ref="AO228">SUM($AB226:AO226,-$AB227:AO227)</f>
        <v>16872527.220896363</v>
      </c>
      <c r="AP228" s="1" cm="1">
        <f t="array" ref="AP228">SUM($AB226:AP226,-$AB227:AP227)</f>
        <v>16545130.235326497</v>
      </c>
      <c r="AQ228" s="1" cm="1">
        <f t="array" ref="AQ228">SUM($AB226:AQ226,-$AB227:AQ227)</f>
        <v>16136277.154313238</v>
      </c>
      <c r="AR228" s="1" cm="1">
        <f t="array" ref="AR228">SUM($AB226:AR226,-$AB227:AR227)</f>
        <v>15630817.847063206</v>
      </c>
      <c r="AS228" s="1" cm="1">
        <f t="array" ref="AS228">SUM($AB226:AS226,-$AB227:AS227)</f>
        <v>15058726.732770344</v>
      </c>
      <c r="AT228" s="1" cm="1">
        <f t="array" ref="AT228">SUM($AB226:AT226,-$AB227:AT227)</f>
        <v>14249811.727914328</v>
      </c>
      <c r="AU228" s="1" cm="1">
        <f t="array" ref="AU228">SUM($AB226:AU226,-$AB227:AU227)</f>
        <v>13716140.534130668</v>
      </c>
      <c r="AV228" s="1" cm="1">
        <f t="array" ref="AV228">SUM($AB226:AV226,-$AB227:AV227)</f>
        <v>12896887.394370683</v>
      </c>
      <c r="AW228" s="1" cm="1">
        <f t="array" ref="AW228">SUM($AB226:AW226,-$AB227:AW227)</f>
        <v>11869758.744946312</v>
      </c>
      <c r="AX228" s="1" cm="1">
        <f t="array" ref="AX228">SUM($AB226:AX226,-$AB227:AX227)</f>
        <v>10780041.068481717</v>
      </c>
      <c r="AY228" s="1" cm="1">
        <f t="array" ref="AY228">SUM($AB226:AY226,-$AB227:AY227)</f>
        <v>9612148.465134643</v>
      </c>
      <c r="AZ228" s="1" cm="1">
        <f t="array" ref="AZ228">SUM($AB226:AZ226,-$AB227:AZ227)</f>
        <v>8367593.5083605237</v>
      </c>
      <c r="BA228" s="1" cm="1">
        <f t="array" ref="BA228">SUM($AB226:BA226,-$AB227:BA227)</f>
        <v>7073784.6723631658</v>
      </c>
      <c r="BB228" s="1" cm="1">
        <f t="array" ref="BB228">SUM($AB226:BB226,-$AB227:BB227)</f>
        <v>5619776.2306850636</v>
      </c>
      <c r="BC228" s="1" cm="1">
        <f t="array" ref="BC228">SUM($AB226:BC226,-$AB227:BC227)</f>
        <v>4026017.6883790987</v>
      </c>
      <c r="BD228" s="1" cm="1">
        <f t="array" ref="BD228">SUM($AB226:BD226,-$AB227:BD227)</f>
        <v>2222633.9951313455</v>
      </c>
      <c r="BE228" s="1" cm="1">
        <f t="array" ref="BE228">SUM($AB226:BE226,-$AB227:BE227)</f>
        <v>0</v>
      </c>
    </row>
    <row r="230" spans="2:57" x14ac:dyDescent="0.2">
      <c r="C230" t="s">
        <v>309</v>
      </c>
      <c r="AB230" s="19">
        <f>1/AB231</f>
        <v>3.3333333333333333E-2</v>
      </c>
      <c r="AC230" s="19">
        <f t="shared" ref="AC230:BE230" si="304">1/AC231</f>
        <v>3.4482758620689655E-2</v>
      </c>
      <c r="AD230" s="19">
        <f t="shared" si="304"/>
        <v>3.5714285714285712E-2</v>
      </c>
      <c r="AE230" s="19">
        <f t="shared" si="304"/>
        <v>3.7037037037037035E-2</v>
      </c>
      <c r="AF230" s="19">
        <f t="shared" si="304"/>
        <v>3.8461538461538464E-2</v>
      </c>
      <c r="AG230" s="19">
        <f t="shared" si="304"/>
        <v>0.04</v>
      </c>
      <c r="AH230" s="19">
        <f t="shared" si="304"/>
        <v>4.1666666666666664E-2</v>
      </c>
      <c r="AI230" s="19">
        <f t="shared" si="304"/>
        <v>4.3478260869565216E-2</v>
      </c>
      <c r="AJ230" s="19">
        <f t="shared" si="304"/>
        <v>4.5454545454545456E-2</v>
      </c>
      <c r="AK230" s="19">
        <f t="shared" si="304"/>
        <v>4.7619047619047616E-2</v>
      </c>
      <c r="AL230" s="19">
        <f t="shared" si="304"/>
        <v>0.05</v>
      </c>
      <c r="AM230" s="19">
        <f t="shared" si="304"/>
        <v>5.2631578947368418E-2</v>
      </c>
      <c r="AN230" s="19">
        <f t="shared" si="304"/>
        <v>5.5555555555555552E-2</v>
      </c>
      <c r="AO230" s="19">
        <f t="shared" si="304"/>
        <v>5.8823529411764705E-2</v>
      </c>
      <c r="AP230" s="19">
        <f t="shared" si="304"/>
        <v>6.25E-2</v>
      </c>
      <c r="AQ230" s="19">
        <f t="shared" si="304"/>
        <v>6.6666666666666666E-2</v>
      </c>
      <c r="AR230" s="19">
        <f t="shared" si="304"/>
        <v>7.1428571428571425E-2</v>
      </c>
      <c r="AS230" s="19">
        <f t="shared" si="304"/>
        <v>7.6923076923076927E-2</v>
      </c>
      <c r="AT230" s="19">
        <f t="shared" si="304"/>
        <v>8.3333333333333329E-2</v>
      </c>
      <c r="AU230" s="19">
        <f t="shared" si="304"/>
        <v>9.0909090909090912E-2</v>
      </c>
      <c r="AV230" s="19">
        <f t="shared" si="304"/>
        <v>0.1</v>
      </c>
      <c r="AW230" s="19">
        <f t="shared" si="304"/>
        <v>0.1111111111111111</v>
      </c>
      <c r="AX230" s="19">
        <f t="shared" si="304"/>
        <v>0.125</v>
      </c>
      <c r="AY230" s="19">
        <f t="shared" si="304"/>
        <v>0.14285714285714285</v>
      </c>
      <c r="AZ230" s="19">
        <f t="shared" si="304"/>
        <v>0.16666666666666666</v>
      </c>
      <c r="BA230" s="19">
        <f t="shared" si="304"/>
        <v>0.2</v>
      </c>
      <c r="BB230" s="19">
        <f t="shared" si="304"/>
        <v>0.25</v>
      </c>
      <c r="BC230" s="19">
        <f t="shared" si="304"/>
        <v>0.33333333333333331</v>
      </c>
      <c r="BD230" s="19">
        <f t="shared" si="304"/>
        <v>0.5</v>
      </c>
      <c r="BE230" s="19">
        <f t="shared" si="304"/>
        <v>1</v>
      </c>
    </row>
    <row r="231" spans="2:57" x14ac:dyDescent="0.2">
      <c r="C231" t="s">
        <v>310</v>
      </c>
      <c r="AB231">
        <v>30</v>
      </c>
      <c r="AC231">
        <f>AB231-1</f>
        <v>29</v>
      </c>
      <c r="AD231">
        <f t="shared" ref="AD231:BE231" si="305">AC231-1</f>
        <v>28</v>
      </c>
      <c r="AE231">
        <f t="shared" si="305"/>
        <v>27</v>
      </c>
      <c r="AF231">
        <f t="shared" si="305"/>
        <v>26</v>
      </c>
      <c r="AG231">
        <f t="shared" si="305"/>
        <v>25</v>
      </c>
      <c r="AH231">
        <f t="shared" si="305"/>
        <v>24</v>
      </c>
      <c r="AI231">
        <f t="shared" si="305"/>
        <v>23</v>
      </c>
      <c r="AJ231">
        <f t="shared" si="305"/>
        <v>22</v>
      </c>
      <c r="AK231">
        <f t="shared" si="305"/>
        <v>21</v>
      </c>
      <c r="AL231">
        <f t="shared" si="305"/>
        <v>20</v>
      </c>
      <c r="AM231">
        <f t="shared" si="305"/>
        <v>19</v>
      </c>
      <c r="AN231">
        <f t="shared" si="305"/>
        <v>18</v>
      </c>
      <c r="AO231">
        <f t="shared" si="305"/>
        <v>17</v>
      </c>
      <c r="AP231">
        <f t="shared" si="305"/>
        <v>16</v>
      </c>
      <c r="AQ231">
        <f t="shared" si="305"/>
        <v>15</v>
      </c>
      <c r="AR231">
        <f t="shared" si="305"/>
        <v>14</v>
      </c>
      <c r="AS231">
        <f t="shared" si="305"/>
        <v>13</v>
      </c>
      <c r="AT231">
        <f t="shared" si="305"/>
        <v>12</v>
      </c>
      <c r="AU231">
        <f t="shared" si="305"/>
        <v>11</v>
      </c>
      <c r="AV231">
        <f t="shared" si="305"/>
        <v>10</v>
      </c>
      <c r="AW231">
        <f t="shared" si="305"/>
        <v>9</v>
      </c>
      <c r="AX231">
        <f t="shared" si="305"/>
        <v>8</v>
      </c>
      <c r="AY231">
        <f t="shared" si="305"/>
        <v>7</v>
      </c>
      <c r="AZ231">
        <f t="shared" si="305"/>
        <v>6</v>
      </c>
      <c r="BA231">
        <f t="shared" si="305"/>
        <v>5</v>
      </c>
      <c r="BB231">
        <f t="shared" si="305"/>
        <v>4</v>
      </c>
      <c r="BC231">
        <f t="shared" si="305"/>
        <v>3</v>
      </c>
      <c r="BD231">
        <f t="shared" si="305"/>
        <v>2</v>
      </c>
      <c r="BE231">
        <f t="shared" si="305"/>
        <v>1</v>
      </c>
    </row>
    <row r="233" spans="2:57" x14ac:dyDescent="0.2">
      <c r="B233" s="4" t="s">
        <v>326</v>
      </c>
    </row>
    <row r="235" spans="2:57" x14ac:dyDescent="0.2">
      <c r="C235" s="6" t="s">
        <v>336</v>
      </c>
      <c r="D235" s="6"/>
      <c r="E235" s="6"/>
      <c r="F235" s="6"/>
      <c r="G235" s="130" t="s">
        <v>327</v>
      </c>
      <c r="H235" s="130"/>
      <c r="I235" s="22" t="s">
        <v>328</v>
      </c>
      <c r="J235" s="22" t="s">
        <v>341</v>
      </c>
    </row>
    <row r="236" spans="2:57" x14ac:dyDescent="0.2">
      <c r="D236" t="s">
        <v>337</v>
      </c>
      <c r="G236">
        <v>2050</v>
      </c>
      <c r="H236" s="12">
        <v>5.8799999999999998E-2</v>
      </c>
      <c r="I236" s="10">
        <v>1.83</v>
      </c>
      <c r="J236" s="12">
        <f>H236*I236</f>
        <v>0.10760400000000001</v>
      </c>
    </row>
    <row r="237" spans="2:57" x14ac:dyDescent="0.2">
      <c r="D237" t="s">
        <v>338</v>
      </c>
      <c r="G237">
        <v>2050</v>
      </c>
      <c r="H237" s="12">
        <v>5.8799999999999998E-2</v>
      </c>
      <c r="I237" s="12">
        <v>2.383</v>
      </c>
      <c r="J237" s="12">
        <f t="shared" ref="J237:J239" si="306">H237*I237</f>
        <v>0.14012040000000001</v>
      </c>
    </row>
    <row r="238" spans="2:57" s="12" customFormat="1" x14ac:dyDescent="0.2">
      <c r="B238"/>
      <c r="C238"/>
      <c r="D238" t="s">
        <v>339</v>
      </c>
      <c r="E238"/>
      <c r="F238"/>
      <c r="G238">
        <v>2050</v>
      </c>
      <c r="H238" s="12">
        <v>5.8799999999999998E-2</v>
      </c>
      <c r="I238" s="12">
        <v>1.8387</v>
      </c>
      <c r="J238" s="12">
        <f t="shared" si="306"/>
        <v>0.10811556</v>
      </c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</row>
    <row r="239" spans="2:57" s="12" customFormat="1" x14ac:dyDescent="0.2">
      <c r="B239"/>
      <c r="C239"/>
      <c r="D239" t="s">
        <v>340</v>
      </c>
      <c r="E239"/>
      <c r="F239"/>
      <c r="G239">
        <v>2050</v>
      </c>
      <c r="H239" s="12">
        <v>5.8799999999999998E-2</v>
      </c>
      <c r="I239" s="12">
        <v>1.8573999999999999</v>
      </c>
      <c r="J239" s="12">
        <f t="shared" si="306"/>
        <v>0.10921512</v>
      </c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</row>
    <row r="240" spans="2:57" s="12" customFormat="1" x14ac:dyDescent="0.2">
      <c r="B240"/>
      <c r="C240"/>
      <c r="D240" t="s">
        <v>329</v>
      </c>
      <c r="E240"/>
      <c r="F240"/>
      <c r="G240">
        <v>2055</v>
      </c>
      <c r="H240" s="12">
        <v>5.8799999999999998E-2</v>
      </c>
      <c r="I240" s="12">
        <v>2.7699999999999999E-2</v>
      </c>
      <c r="J240" s="12">
        <f>H240+I240</f>
        <v>8.6499999999999994E-2</v>
      </c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</row>
    <row r="241" spans="2:57" s="12" customFormat="1" x14ac:dyDescent="0.2">
      <c r="B241"/>
      <c r="C241" s="6" t="s">
        <v>331</v>
      </c>
      <c r="D241"/>
      <c r="E241"/>
      <c r="F241"/>
      <c r="G241"/>
      <c r="H241"/>
      <c r="I241"/>
      <c r="J241" s="22" t="s">
        <v>330</v>
      </c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</row>
    <row r="242" spans="2:57" s="12" customFormat="1" x14ac:dyDescent="0.2">
      <c r="B242"/>
      <c r="C242"/>
      <c r="D242" t="s">
        <v>332</v>
      </c>
      <c r="E242"/>
      <c r="F242"/>
      <c r="G242"/>
      <c r="H242"/>
      <c r="I242"/>
      <c r="J242" s="12">
        <v>8.1000000000000003E-2</v>
      </c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</row>
    <row r="243" spans="2:57" s="12" customFormat="1" x14ac:dyDescent="0.2">
      <c r="B243"/>
      <c r="C243"/>
      <c r="D243" t="s">
        <v>333</v>
      </c>
      <c r="E243"/>
      <c r="F243"/>
      <c r="G243"/>
      <c r="H243"/>
      <c r="I243"/>
      <c r="J243" s="12">
        <v>7.5700000000000003E-2</v>
      </c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</row>
    <row r="244" spans="2:57" s="12" customFormat="1" x14ac:dyDescent="0.2">
      <c r="B244"/>
      <c r="C244"/>
      <c r="D244" t="s">
        <v>335</v>
      </c>
      <c r="E244"/>
      <c r="F244"/>
      <c r="G244"/>
      <c r="H244"/>
      <c r="I244"/>
      <c r="J244" s="12">
        <v>7.7399999999999997E-2</v>
      </c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</row>
    <row r="245" spans="2:57" s="12" customFormat="1" x14ac:dyDescent="0.2">
      <c r="B245"/>
      <c r="C245"/>
      <c r="D245" t="s">
        <v>334</v>
      </c>
      <c r="E245"/>
      <c r="F245"/>
      <c r="G245"/>
      <c r="H245"/>
      <c r="I245"/>
      <c r="J245" s="12">
        <v>7.9600000000000004E-2</v>
      </c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</row>
    <row r="247" spans="2:57" x14ac:dyDescent="0.2">
      <c r="B247" s="4" t="s">
        <v>419</v>
      </c>
      <c r="AB247" s="131">
        <f>AB$3</f>
        <v>1</v>
      </c>
      <c r="AC247" s="131">
        <f t="shared" ref="AC247:BE247" si="307">AC$3</f>
        <v>2</v>
      </c>
      <c r="AD247" s="131">
        <f t="shared" si="307"/>
        <v>3</v>
      </c>
      <c r="AE247" s="131">
        <f t="shared" si="307"/>
        <v>4</v>
      </c>
      <c r="AF247" s="131">
        <f t="shared" si="307"/>
        <v>5</v>
      </c>
      <c r="AG247" s="131">
        <f t="shared" si="307"/>
        <v>6</v>
      </c>
      <c r="AH247" s="131">
        <f t="shared" si="307"/>
        <v>7</v>
      </c>
      <c r="AI247" s="131">
        <f t="shared" si="307"/>
        <v>8</v>
      </c>
      <c r="AJ247" s="131">
        <f t="shared" si="307"/>
        <v>9</v>
      </c>
      <c r="AK247" s="131">
        <f t="shared" si="307"/>
        <v>10</v>
      </c>
      <c r="AL247" s="131">
        <f t="shared" si="307"/>
        <v>11</v>
      </c>
      <c r="AM247" s="131">
        <f t="shared" si="307"/>
        <v>12</v>
      </c>
      <c r="AN247" s="131">
        <f t="shared" si="307"/>
        <v>13</v>
      </c>
      <c r="AO247" s="131">
        <f t="shared" si="307"/>
        <v>14</v>
      </c>
      <c r="AP247" s="131">
        <f t="shared" si="307"/>
        <v>15</v>
      </c>
      <c r="AQ247" s="131">
        <f t="shared" si="307"/>
        <v>16</v>
      </c>
      <c r="AR247" s="131">
        <f t="shared" si="307"/>
        <v>17</v>
      </c>
      <c r="AS247" s="131">
        <f t="shared" si="307"/>
        <v>18</v>
      </c>
      <c r="AT247" s="131">
        <f t="shared" si="307"/>
        <v>19</v>
      </c>
      <c r="AU247" s="131">
        <f t="shared" si="307"/>
        <v>20</v>
      </c>
      <c r="AV247" s="131">
        <f t="shared" si="307"/>
        <v>21</v>
      </c>
      <c r="AW247" s="131">
        <f t="shared" si="307"/>
        <v>22</v>
      </c>
      <c r="AX247" s="131">
        <f t="shared" si="307"/>
        <v>23</v>
      </c>
      <c r="AY247" s="131">
        <f t="shared" si="307"/>
        <v>24</v>
      </c>
      <c r="AZ247" s="131">
        <f t="shared" si="307"/>
        <v>25</v>
      </c>
      <c r="BA247" s="131">
        <f t="shared" si="307"/>
        <v>26</v>
      </c>
      <c r="BB247" s="131">
        <f t="shared" si="307"/>
        <v>27</v>
      </c>
      <c r="BC247" s="131">
        <f t="shared" si="307"/>
        <v>28</v>
      </c>
      <c r="BD247" s="131">
        <f t="shared" si="307"/>
        <v>29</v>
      </c>
      <c r="BE247" s="131">
        <f t="shared" si="307"/>
        <v>30</v>
      </c>
    </row>
    <row r="249" spans="2:57" s="131" customFormat="1" x14ac:dyDescent="0.2">
      <c r="B249" s="131" t="s">
        <v>420</v>
      </c>
      <c r="K249" s="134" t="s">
        <v>426</v>
      </c>
      <c r="L249" s="135" t="s">
        <v>427</v>
      </c>
    </row>
    <row r="250" spans="2:57" x14ac:dyDescent="0.2">
      <c r="B250" t="s">
        <v>421</v>
      </c>
      <c r="K250" s="136">
        <f t="shared" ref="K250:K252" si="308">SUM(AB250:AF250)</f>
        <v>0</v>
      </c>
      <c r="L250" s="136">
        <f t="shared" ref="L250:L252" si="309">SUM(AG250:BE250)</f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</row>
    <row r="251" spans="2:57" x14ac:dyDescent="0.2">
      <c r="B251" t="s">
        <v>422</v>
      </c>
      <c r="K251" s="136">
        <f t="shared" si="308"/>
        <v>0</v>
      </c>
      <c r="L251" s="136">
        <f t="shared" si="309"/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</row>
    <row r="252" spans="2:57" s="6" customFormat="1" x14ac:dyDescent="0.2">
      <c r="B252" s="132" t="s">
        <v>423</v>
      </c>
      <c r="C252" s="132"/>
      <c r="D252" s="132"/>
      <c r="E252" s="132"/>
      <c r="F252" s="132"/>
      <c r="G252" s="132"/>
      <c r="H252" s="132"/>
      <c r="I252" s="132"/>
      <c r="J252" s="132"/>
      <c r="K252" s="137">
        <f t="shared" si="308"/>
        <v>0</v>
      </c>
      <c r="L252" s="137">
        <f t="shared" si="309"/>
        <v>0</v>
      </c>
      <c r="M252"/>
      <c r="N25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>
        <f>AB250-AB251</f>
        <v>0</v>
      </c>
      <c r="AC252" s="132">
        <f t="shared" ref="AC252:BE252" si="310">AC250-AC251</f>
        <v>0</v>
      </c>
      <c r="AD252" s="132">
        <f t="shared" si="310"/>
        <v>0</v>
      </c>
      <c r="AE252" s="132">
        <f t="shared" si="310"/>
        <v>0</v>
      </c>
      <c r="AF252" s="132">
        <f t="shared" si="310"/>
        <v>0</v>
      </c>
      <c r="AG252" s="132">
        <f t="shared" si="310"/>
        <v>0</v>
      </c>
      <c r="AH252" s="132">
        <f t="shared" si="310"/>
        <v>0</v>
      </c>
      <c r="AI252" s="132">
        <f t="shared" si="310"/>
        <v>0</v>
      </c>
      <c r="AJ252" s="132">
        <f t="shared" si="310"/>
        <v>0</v>
      </c>
      <c r="AK252" s="132">
        <f t="shared" si="310"/>
        <v>0</v>
      </c>
      <c r="AL252" s="132">
        <f t="shared" si="310"/>
        <v>0</v>
      </c>
      <c r="AM252" s="132">
        <f t="shared" si="310"/>
        <v>0</v>
      </c>
      <c r="AN252" s="132">
        <f t="shared" si="310"/>
        <v>0</v>
      </c>
      <c r="AO252" s="132">
        <f t="shared" si="310"/>
        <v>0</v>
      </c>
      <c r="AP252" s="132">
        <f t="shared" si="310"/>
        <v>0</v>
      </c>
      <c r="AQ252" s="132">
        <f t="shared" si="310"/>
        <v>0</v>
      </c>
      <c r="AR252" s="132">
        <f t="shared" si="310"/>
        <v>0</v>
      </c>
      <c r="AS252" s="132">
        <f t="shared" si="310"/>
        <v>0</v>
      </c>
      <c r="AT252" s="132">
        <f t="shared" si="310"/>
        <v>0</v>
      </c>
      <c r="AU252" s="132">
        <f t="shared" si="310"/>
        <v>0</v>
      </c>
      <c r="AV252" s="132">
        <f t="shared" si="310"/>
        <v>0</v>
      </c>
      <c r="AW252" s="132">
        <f t="shared" si="310"/>
        <v>0</v>
      </c>
      <c r="AX252" s="132">
        <f t="shared" si="310"/>
        <v>0</v>
      </c>
      <c r="AY252" s="132">
        <f t="shared" si="310"/>
        <v>0</v>
      </c>
      <c r="AZ252" s="132">
        <f t="shared" si="310"/>
        <v>0</v>
      </c>
      <c r="BA252" s="132">
        <f t="shared" si="310"/>
        <v>0</v>
      </c>
      <c r="BB252" s="132">
        <f t="shared" si="310"/>
        <v>0</v>
      </c>
      <c r="BC252" s="132">
        <f t="shared" si="310"/>
        <v>0</v>
      </c>
      <c r="BD252" s="132">
        <f t="shared" si="310"/>
        <v>0</v>
      </c>
      <c r="BE252" s="132">
        <f t="shared" si="310"/>
        <v>0</v>
      </c>
    </row>
    <row r="253" spans="2:57" x14ac:dyDescent="0.2">
      <c r="K253" s="138"/>
      <c r="L253" s="113"/>
    </row>
    <row r="254" spans="2:57" s="131" customFormat="1" x14ac:dyDescent="0.2">
      <c r="B254" s="131" t="s">
        <v>424</v>
      </c>
      <c r="K254" s="134" t="s">
        <v>426</v>
      </c>
      <c r="L254" s="135" t="s">
        <v>427</v>
      </c>
      <c r="M254"/>
      <c r="N254"/>
    </row>
    <row r="255" spans="2:57" x14ac:dyDescent="0.2">
      <c r="B255" t="s">
        <v>429</v>
      </c>
      <c r="K255" s="136">
        <f t="shared" ref="K255:K258" si="311">SUM(AB255:AF255)</f>
        <v>500000</v>
      </c>
      <c r="L255" s="136">
        <f t="shared" ref="L255:L258" si="312">SUM(AG255:BE255)</f>
        <v>0</v>
      </c>
      <c r="AB255" s="1">
        <f>-AB202</f>
        <v>500000</v>
      </c>
      <c r="AC255" s="1">
        <f t="shared" ref="AC255:BE255" si="313">-AC202</f>
        <v>0</v>
      </c>
      <c r="AD255" s="1">
        <f t="shared" si="313"/>
        <v>0</v>
      </c>
      <c r="AE255" s="1">
        <f t="shared" si="313"/>
        <v>0</v>
      </c>
      <c r="AF255" s="1">
        <f t="shared" si="313"/>
        <v>0</v>
      </c>
      <c r="AG255" s="1">
        <f t="shared" si="313"/>
        <v>0</v>
      </c>
      <c r="AH255" s="1">
        <f t="shared" si="313"/>
        <v>0</v>
      </c>
      <c r="AI255" s="1">
        <f t="shared" si="313"/>
        <v>0</v>
      </c>
      <c r="AJ255" s="1">
        <f t="shared" si="313"/>
        <v>0</v>
      </c>
      <c r="AK255" s="1">
        <f t="shared" si="313"/>
        <v>0</v>
      </c>
      <c r="AL255" s="1">
        <f t="shared" si="313"/>
        <v>0</v>
      </c>
      <c r="AM255" s="1">
        <f t="shared" si="313"/>
        <v>0</v>
      </c>
      <c r="AN255" s="1">
        <f t="shared" si="313"/>
        <v>0</v>
      </c>
      <c r="AO255" s="1">
        <f t="shared" si="313"/>
        <v>0</v>
      </c>
      <c r="AP255" s="1">
        <f t="shared" si="313"/>
        <v>0</v>
      </c>
      <c r="AQ255" s="1">
        <f t="shared" si="313"/>
        <v>0</v>
      </c>
      <c r="AR255" s="1">
        <f t="shared" si="313"/>
        <v>0</v>
      </c>
      <c r="AS255" s="1">
        <f t="shared" si="313"/>
        <v>0</v>
      </c>
      <c r="AT255" s="1">
        <f t="shared" si="313"/>
        <v>0</v>
      </c>
      <c r="AU255" s="1">
        <f t="shared" si="313"/>
        <v>0</v>
      </c>
      <c r="AV255" s="1">
        <f t="shared" si="313"/>
        <v>0</v>
      </c>
      <c r="AW255" s="1">
        <f t="shared" si="313"/>
        <v>0</v>
      </c>
      <c r="AX255" s="1">
        <f t="shared" si="313"/>
        <v>0</v>
      </c>
      <c r="AY255" s="1">
        <f t="shared" si="313"/>
        <v>0</v>
      </c>
      <c r="AZ255" s="1">
        <f t="shared" si="313"/>
        <v>0</v>
      </c>
      <c r="BA255" s="1">
        <f t="shared" si="313"/>
        <v>0</v>
      </c>
      <c r="BB255" s="1">
        <f t="shared" si="313"/>
        <v>0</v>
      </c>
      <c r="BC255" s="1">
        <f t="shared" si="313"/>
        <v>0</v>
      </c>
      <c r="BD255" s="1">
        <f t="shared" si="313"/>
        <v>0</v>
      </c>
      <c r="BE255" s="1">
        <f t="shared" si="313"/>
        <v>0</v>
      </c>
    </row>
    <row r="256" spans="2:57" x14ac:dyDescent="0.2">
      <c r="B256" t="s">
        <v>428</v>
      </c>
      <c r="K256" s="136">
        <f t="shared" ref="K256" si="314">SUM(AB256:AF256)</f>
        <v>74941.855046971425</v>
      </c>
      <c r="L256" s="136">
        <f t="shared" ref="L256" si="315">SUM(AG256:BE256)</f>
        <v>409755.98781176988</v>
      </c>
      <c r="AB256" s="1">
        <f>-AB161</f>
        <v>14523.370924702072</v>
      </c>
      <c r="AC256" s="1">
        <f t="shared" ref="AC256:BE256" si="316">-AC161</f>
        <v>14791.67600084394</v>
      </c>
      <c r="AD256" s="1">
        <f t="shared" si="316"/>
        <v>15000.767815569001</v>
      </c>
      <c r="AE256" s="1">
        <f t="shared" si="316"/>
        <v>15209.186263114003</v>
      </c>
      <c r="AF256" s="1">
        <f t="shared" si="316"/>
        <v>15416.854042742414</v>
      </c>
      <c r="AG256" s="1">
        <f t="shared" si="316"/>
        <v>15662.081106445485</v>
      </c>
      <c r="AH256" s="1">
        <f t="shared" si="316"/>
        <v>15751.162770619145</v>
      </c>
      <c r="AI256" s="1">
        <f t="shared" si="316"/>
        <v>15838.532151623112</v>
      </c>
      <c r="AJ256" s="1">
        <f t="shared" si="316"/>
        <v>15924.155383922181</v>
      </c>
      <c r="AK256" s="1">
        <f t="shared" si="316"/>
        <v>16007.999151682756</v>
      </c>
      <c r="AL256" s="1">
        <f t="shared" si="316"/>
        <v>16090.030710302084</v>
      </c>
      <c r="AM256" s="1">
        <f t="shared" si="316"/>
        <v>16170.217907652041</v>
      </c>
      <c r="AN256" s="1">
        <f t="shared" si="316"/>
        <v>16248.529205018152</v>
      </c>
      <c r="AO256" s="1">
        <f t="shared" si="316"/>
        <v>16324.933697714951</v>
      </c>
      <c r="AP256" s="1">
        <f t="shared" si="316"/>
        <v>16399.40113535877</v>
      </c>
      <c r="AQ256" s="1">
        <f t="shared" si="316"/>
        <v>16471.901941779433</v>
      </c>
      <c r="AR256" s="1">
        <f t="shared" si="316"/>
        <v>16502.926549028518</v>
      </c>
      <c r="AS256" s="1">
        <f t="shared" si="316"/>
        <v>16531.789373447849</v>
      </c>
      <c r="AT256" s="1">
        <f t="shared" si="316"/>
        <v>16558.47857724204</v>
      </c>
      <c r="AU256" s="1">
        <f t="shared" si="316"/>
        <v>16582.983177601953</v>
      </c>
      <c r="AV256" s="1">
        <f t="shared" si="316"/>
        <v>16605.293054225345</v>
      </c>
      <c r="AW256" s="1">
        <f t="shared" si="316"/>
        <v>16625.398956271474</v>
      </c>
      <c r="AX256" s="1">
        <f t="shared" si="316"/>
        <v>16643.292508743027</v>
      </c>
      <c r="AY256" s="1">
        <f t="shared" si="316"/>
        <v>16658.966218289155</v>
      </c>
      <c r="AZ256" s="1">
        <f t="shared" si="316"/>
        <v>16672.413478424056</v>
      </c>
      <c r="BA256" s="1">
        <f t="shared" si="316"/>
        <v>16683.628574156057</v>
      </c>
      <c r="BB256" s="1">
        <f t="shared" si="316"/>
        <v>16692.606686022504</v>
      </c>
      <c r="BC256" s="1">
        <f t="shared" si="316"/>
        <v>16699.343893526722</v>
      </c>
      <c r="BD256" s="1">
        <f t="shared" si="316"/>
        <v>16703.83717797339</v>
      </c>
      <c r="BE256" s="1">
        <f t="shared" si="316"/>
        <v>16706.084424699668</v>
      </c>
    </row>
    <row r="257" spans="2:57" x14ac:dyDescent="0.2">
      <c r="B257" t="s">
        <v>422</v>
      </c>
      <c r="K257" s="136">
        <f t="shared" si="311"/>
        <v>0</v>
      </c>
      <c r="L257" s="136">
        <f t="shared" si="312"/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</row>
    <row r="258" spans="2:57" s="6" customFormat="1" x14ac:dyDescent="0.2">
      <c r="B258" s="132" t="s">
        <v>423</v>
      </c>
      <c r="C258" s="132"/>
      <c r="D258" s="132"/>
      <c r="E258" s="132"/>
      <c r="F258" s="132"/>
      <c r="G258" s="132"/>
      <c r="H258" s="132"/>
      <c r="I258" s="132"/>
      <c r="J258" s="132"/>
      <c r="K258" s="137">
        <f t="shared" si="311"/>
        <v>500000</v>
      </c>
      <c r="L258" s="137">
        <f t="shared" si="312"/>
        <v>0</v>
      </c>
      <c r="M258"/>
      <c r="N258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3">
        <f>AB255-AB257</f>
        <v>500000</v>
      </c>
      <c r="AC258" s="133">
        <f>AC255-AC257</f>
        <v>0</v>
      </c>
      <c r="AD258" s="133">
        <f>AD255-AD257</f>
        <v>0</v>
      </c>
      <c r="AE258" s="133">
        <f>AE255-AE257</f>
        <v>0</v>
      </c>
      <c r="AF258" s="133">
        <f>AF255-AF257</f>
        <v>0</v>
      </c>
      <c r="AG258" s="133">
        <f>AG255-AG257</f>
        <v>0</v>
      </c>
      <c r="AH258" s="133">
        <f>AH255-AH257</f>
        <v>0</v>
      </c>
      <c r="AI258" s="133">
        <f>AI255-AI257</f>
        <v>0</v>
      </c>
      <c r="AJ258" s="133">
        <f>AJ255-AJ257</f>
        <v>0</v>
      </c>
      <c r="AK258" s="133">
        <f>AK255-AK257</f>
        <v>0</v>
      </c>
      <c r="AL258" s="133">
        <f>AL255-AL257</f>
        <v>0</v>
      </c>
      <c r="AM258" s="133">
        <f>AM255-AM257</f>
        <v>0</v>
      </c>
      <c r="AN258" s="133">
        <f>AN255-AN257</f>
        <v>0</v>
      </c>
      <c r="AO258" s="133">
        <f>AO255-AO257</f>
        <v>0</v>
      </c>
      <c r="AP258" s="133">
        <f>AP255-AP257</f>
        <v>0</v>
      </c>
      <c r="AQ258" s="133">
        <f>AQ255-AQ257</f>
        <v>0</v>
      </c>
      <c r="AR258" s="133">
        <f>AR255-AR257</f>
        <v>0</v>
      </c>
      <c r="AS258" s="133">
        <f>AS255-AS257</f>
        <v>0</v>
      </c>
      <c r="AT258" s="133">
        <f>AT255-AT257</f>
        <v>0</v>
      </c>
      <c r="AU258" s="133">
        <f>AU255-AU257</f>
        <v>0</v>
      </c>
      <c r="AV258" s="133">
        <f>AV255-AV257</f>
        <v>0</v>
      </c>
      <c r="AW258" s="133">
        <f>AW255-AW257</f>
        <v>0</v>
      </c>
      <c r="AX258" s="133">
        <f>AX255-AX257</f>
        <v>0</v>
      </c>
      <c r="AY258" s="133">
        <f>AY255-AY257</f>
        <v>0</v>
      </c>
      <c r="AZ258" s="133">
        <f>AZ255-AZ257</f>
        <v>0</v>
      </c>
      <c r="BA258" s="133">
        <f>BA255-BA257</f>
        <v>0</v>
      </c>
      <c r="BB258" s="133">
        <f>BB255-BB257</f>
        <v>0</v>
      </c>
      <c r="BC258" s="133">
        <f>BC255-BC257</f>
        <v>0</v>
      </c>
      <c r="BD258" s="133">
        <f>BD255-BD257</f>
        <v>0</v>
      </c>
      <c r="BE258" s="133">
        <f>BE255-BE257</f>
        <v>0</v>
      </c>
    </row>
  </sheetData>
  <mergeCells count="1">
    <mergeCell ref="G235:H235"/>
  </mergeCells>
  <pageMargins left="0.51181102362204722" right="0.51181102362204722" top="0.78740157480314965" bottom="0.78740157480314965" header="0.31496062992125984" footer="0.31496062992125984"/>
  <pageSetup paperSize="9" scale="46" fitToWidth="3" fitToHeight="0" orientation="landscape" r:id="rId1"/>
  <rowBreaks count="3" manualBreakCount="3">
    <brk id="67" max="57" man="1"/>
    <brk id="118" max="57" man="1"/>
    <brk id="188" max="57" man="1"/>
  </rowBreaks>
  <colBreaks count="2" manualBreakCount="2">
    <brk id="37" max="1048575" man="1"/>
    <brk id="47" max="2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054ED-4697-8346-B228-5A8BEF1713F8}">
  <dimension ref="A1:IC24"/>
  <sheetViews>
    <sheetView workbookViewId="0">
      <selection activeCell="B369" sqref="B369"/>
    </sheetView>
  </sheetViews>
  <sheetFormatPr baseColWidth="10" defaultColWidth="11.3984375" defaultRowHeight="14" x14ac:dyDescent="0.2"/>
  <cols>
    <col min="1" max="235" width="12.796875" customWidth="1"/>
  </cols>
  <sheetData>
    <row r="1" spans="1:237" ht="16" x14ac:dyDescent="0.2">
      <c r="A1" s="114" t="s">
        <v>0</v>
      </c>
      <c r="B1" s="114" t="s">
        <v>1</v>
      </c>
      <c r="C1" s="114" t="s">
        <v>2</v>
      </c>
      <c r="D1" s="114" t="s">
        <v>3</v>
      </c>
      <c r="E1" s="114" t="s">
        <v>4</v>
      </c>
      <c r="F1" s="114" t="s">
        <v>5</v>
      </c>
      <c r="G1" s="114" t="s">
        <v>6</v>
      </c>
      <c r="H1" s="114" t="s">
        <v>7</v>
      </c>
      <c r="I1" s="114" t="s">
        <v>8</v>
      </c>
      <c r="J1" s="114" t="s">
        <v>9</v>
      </c>
      <c r="K1" s="114" t="s">
        <v>10</v>
      </c>
      <c r="L1" s="114" t="s">
        <v>11</v>
      </c>
      <c r="M1" s="114" t="s">
        <v>12</v>
      </c>
      <c r="N1" s="114" t="s">
        <v>13</v>
      </c>
      <c r="O1" s="114" t="s">
        <v>14</v>
      </c>
      <c r="P1" s="114" t="s">
        <v>15</v>
      </c>
      <c r="Q1" s="114" t="s">
        <v>16</v>
      </c>
      <c r="R1" s="114" t="s">
        <v>17</v>
      </c>
      <c r="S1" s="114" t="s">
        <v>18</v>
      </c>
      <c r="T1" s="114" t="s">
        <v>19</v>
      </c>
      <c r="U1" s="114" t="s">
        <v>20</v>
      </c>
      <c r="V1" s="114" t="s">
        <v>21</v>
      </c>
      <c r="W1" s="114" t="s">
        <v>22</v>
      </c>
      <c r="X1" s="114" t="s">
        <v>23</v>
      </c>
      <c r="Y1" s="114" t="s">
        <v>24</v>
      </c>
      <c r="Z1" s="114" t="s">
        <v>25</v>
      </c>
      <c r="AA1" s="114" t="s">
        <v>26</v>
      </c>
      <c r="AB1" s="114" t="s">
        <v>27</v>
      </c>
      <c r="AC1" s="114" t="s">
        <v>28</v>
      </c>
      <c r="AD1" s="114" t="s">
        <v>29</v>
      </c>
      <c r="AE1" s="114" t="s">
        <v>30</v>
      </c>
      <c r="AF1" s="114" t="s">
        <v>31</v>
      </c>
      <c r="AG1" s="114" t="s">
        <v>32</v>
      </c>
      <c r="AH1" s="114" t="s">
        <v>33</v>
      </c>
      <c r="AI1" s="114" t="s">
        <v>34</v>
      </c>
      <c r="AJ1" s="114" t="s">
        <v>35</v>
      </c>
      <c r="AK1" s="114" t="s">
        <v>36</v>
      </c>
      <c r="AL1" s="114" t="s">
        <v>37</v>
      </c>
      <c r="AM1" s="114" t="s">
        <v>38</v>
      </c>
      <c r="AN1" s="114" t="s">
        <v>39</v>
      </c>
      <c r="AO1" s="114" t="s">
        <v>40</v>
      </c>
      <c r="AP1" s="114" t="s">
        <v>41</v>
      </c>
      <c r="AQ1" s="114" t="s">
        <v>42</v>
      </c>
      <c r="AR1" s="114" t="s">
        <v>43</v>
      </c>
      <c r="AS1" s="114" t="s">
        <v>44</v>
      </c>
      <c r="AT1" s="114" t="s">
        <v>45</v>
      </c>
      <c r="AU1" s="114" t="s">
        <v>46</v>
      </c>
      <c r="AV1" s="114" t="s">
        <v>47</v>
      </c>
      <c r="AW1" s="114" t="s">
        <v>48</v>
      </c>
      <c r="AX1" s="114" t="s">
        <v>49</v>
      </c>
      <c r="AY1" s="114" t="s">
        <v>50</v>
      </c>
      <c r="AZ1" s="114" t="s">
        <v>51</v>
      </c>
      <c r="BA1" s="114" t="s">
        <v>52</v>
      </c>
      <c r="BB1" s="114" t="s">
        <v>53</v>
      </c>
      <c r="BC1" s="114" t="s">
        <v>54</v>
      </c>
      <c r="BD1" s="114" t="s">
        <v>55</v>
      </c>
      <c r="BE1" s="114" t="s">
        <v>56</v>
      </c>
      <c r="BF1" s="114" t="s">
        <v>57</v>
      </c>
      <c r="BG1" s="114" t="s">
        <v>58</v>
      </c>
      <c r="BH1" s="114" t="s">
        <v>59</v>
      </c>
      <c r="BI1" s="114" t="s">
        <v>60</v>
      </c>
      <c r="BJ1" s="114" t="s">
        <v>61</v>
      </c>
      <c r="BK1" s="114" t="s">
        <v>62</v>
      </c>
      <c r="BL1" s="114" t="s">
        <v>63</v>
      </c>
      <c r="BM1" s="114" t="s">
        <v>64</v>
      </c>
      <c r="BN1" s="114" t="s">
        <v>65</v>
      </c>
      <c r="BO1" s="114" t="s">
        <v>66</v>
      </c>
      <c r="BP1" s="114" t="s">
        <v>67</v>
      </c>
      <c r="BQ1" s="114" t="s">
        <v>68</v>
      </c>
      <c r="BR1" s="114" t="s">
        <v>69</v>
      </c>
      <c r="BS1" s="114" t="s">
        <v>70</v>
      </c>
      <c r="BT1" s="114" t="s">
        <v>71</v>
      </c>
      <c r="BU1" s="114" t="s">
        <v>72</v>
      </c>
      <c r="BV1" s="114" t="s">
        <v>73</v>
      </c>
      <c r="BW1" s="114" t="s">
        <v>74</v>
      </c>
      <c r="BX1" s="114" t="s">
        <v>75</v>
      </c>
      <c r="BY1" s="114" t="s">
        <v>76</v>
      </c>
      <c r="BZ1" s="114" t="s">
        <v>77</v>
      </c>
      <c r="CA1" s="114" t="s">
        <v>78</v>
      </c>
      <c r="CB1" s="114" t="s">
        <v>79</v>
      </c>
      <c r="CC1" s="114" t="s">
        <v>80</v>
      </c>
      <c r="CD1" s="114" t="s">
        <v>81</v>
      </c>
      <c r="CE1" s="114" t="s">
        <v>82</v>
      </c>
      <c r="CF1" s="114" t="s">
        <v>83</v>
      </c>
      <c r="CG1" s="114" t="s">
        <v>84</v>
      </c>
      <c r="CH1" s="114" t="s">
        <v>85</v>
      </c>
      <c r="CI1" s="114" t="s">
        <v>86</v>
      </c>
      <c r="CJ1" s="114" t="s">
        <v>87</v>
      </c>
      <c r="CK1" s="114" t="s">
        <v>88</v>
      </c>
      <c r="CL1" s="114" t="s">
        <v>89</v>
      </c>
      <c r="CM1" s="114" t="s">
        <v>90</v>
      </c>
      <c r="CN1" s="114" t="s">
        <v>91</v>
      </c>
      <c r="CO1" s="114" t="s">
        <v>92</v>
      </c>
      <c r="CP1" s="114" t="s">
        <v>93</v>
      </c>
      <c r="CQ1" s="114" t="s">
        <v>94</v>
      </c>
      <c r="CR1" s="114" t="s">
        <v>95</v>
      </c>
      <c r="CS1" s="114" t="s">
        <v>96</v>
      </c>
      <c r="CT1" s="114" t="s">
        <v>97</v>
      </c>
      <c r="CU1" s="114" t="s">
        <v>98</v>
      </c>
      <c r="CV1" s="114" t="s">
        <v>99</v>
      </c>
      <c r="CW1" s="114" t="s">
        <v>100</v>
      </c>
      <c r="CX1" s="114" t="s">
        <v>101</v>
      </c>
      <c r="CY1" s="114" t="s">
        <v>102</v>
      </c>
      <c r="CZ1" s="114" t="s">
        <v>103</v>
      </c>
      <c r="DA1" s="114" t="s">
        <v>104</v>
      </c>
      <c r="DB1" s="114" t="s">
        <v>105</v>
      </c>
      <c r="DC1" s="114" t="s">
        <v>106</v>
      </c>
      <c r="DD1" s="114" t="s">
        <v>107</v>
      </c>
      <c r="DE1" s="114" t="s">
        <v>108</v>
      </c>
      <c r="DF1" s="114" t="s">
        <v>109</v>
      </c>
      <c r="DG1" s="114" t="s">
        <v>110</v>
      </c>
      <c r="DH1" s="114" t="s">
        <v>111</v>
      </c>
      <c r="DI1" s="114" t="s">
        <v>112</v>
      </c>
      <c r="DJ1" s="114" t="s">
        <v>113</v>
      </c>
      <c r="DK1" s="114" t="s">
        <v>114</v>
      </c>
      <c r="DL1" s="114" t="s">
        <v>115</v>
      </c>
      <c r="DM1" s="114" t="s">
        <v>116</v>
      </c>
      <c r="DN1" s="114" t="s">
        <v>117</v>
      </c>
      <c r="DO1" s="114" t="s">
        <v>118</v>
      </c>
      <c r="DP1" s="114" t="s">
        <v>119</v>
      </c>
      <c r="DQ1" s="114" t="s">
        <v>120</v>
      </c>
      <c r="DR1" s="114" t="s">
        <v>121</v>
      </c>
      <c r="DS1" s="114" t="s">
        <v>122</v>
      </c>
      <c r="DT1" s="114" t="s">
        <v>123</v>
      </c>
      <c r="DU1" s="114" t="s">
        <v>124</v>
      </c>
      <c r="DV1" s="114" t="s">
        <v>125</v>
      </c>
      <c r="DW1" s="114" t="s">
        <v>126</v>
      </c>
      <c r="DX1" s="114" t="s">
        <v>127</v>
      </c>
      <c r="DY1" s="114" t="s">
        <v>128</v>
      </c>
      <c r="DZ1" s="114" t="s">
        <v>129</v>
      </c>
      <c r="EA1" s="114" t="s">
        <v>130</v>
      </c>
      <c r="EB1" s="114" t="s">
        <v>131</v>
      </c>
      <c r="EC1" s="114" t="s">
        <v>132</v>
      </c>
      <c r="ED1" s="114" t="s">
        <v>133</v>
      </c>
      <c r="EE1" s="114" t="s">
        <v>134</v>
      </c>
      <c r="EF1" s="114" t="s">
        <v>135</v>
      </c>
      <c r="EG1" s="114" t="s">
        <v>136</v>
      </c>
      <c r="EH1" s="114" t="s">
        <v>137</v>
      </c>
      <c r="EI1" s="114" t="s">
        <v>138</v>
      </c>
      <c r="EJ1" s="114" t="s">
        <v>139</v>
      </c>
      <c r="EK1" s="114" t="s">
        <v>140</v>
      </c>
      <c r="EL1" s="114" t="s">
        <v>141</v>
      </c>
      <c r="EM1" s="114" t="s">
        <v>142</v>
      </c>
      <c r="EN1" s="114" t="s">
        <v>143</v>
      </c>
      <c r="EO1" s="114" t="s">
        <v>144</v>
      </c>
      <c r="EP1" s="114" t="s">
        <v>145</v>
      </c>
      <c r="EQ1" s="114" t="s">
        <v>146</v>
      </c>
      <c r="ER1" s="114" t="s">
        <v>147</v>
      </c>
      <c r="ES1" s="114" t="s">
        <v>148</v>
      </c>
      <c r="ET1" s="114" t="s">
        <v>149</v>
      </c>
      <c r="EU1" s="114" t="s">
        <v>150</v>
      </c>
      <c r="EV1" s="114" t="s">
        <v>151</v>
      </c>
      <c r="EW1" s="114" t="s">
        <v>152</v>
      </c>
      <c r="EX1" s="114" t="s">
        <v>153</v>
      </c>
      <c r="EY1" s="114" t="s">
        <v>154</v>
      </c>
      <c r="EZ1" s="114" t="s">
        <v>155</v>
      </c>
      <c r="FA1" s="114" t="s">
        <v>156</v>
      </c>
      <c r="FB1" s="114" t="s">
        <v>157</v>
      </c>
      <c r="FC1" s="114" t="s">
        <v>158</v>
      </c>
      <c r="FD1" s="114" t="s">
        <v>159</v>
      </c>
      <c r="FE1" s="114" t="s">
        <v>160</v>
      </c>
      <c r="FF1" s="114" t="s">
        <v>161</v>
      </c>
      <c r="FG1" s="114" t="s">
        <v>162</v>
      </c>
      <c r="FH1" s="114" t="s">
        <v>163</v>
      </c>
      <c r="FI1" s="114" t="s">
        <v>164</v>
      </c>
      <c r="FJ1" s="114" t="s">
        <v>165</v>
      </c>
      <c r="FK1" s="114" t="s">
        <v>166</v>
      </c>
      <c r="FL1" s="114" t="s">
        <v>167</v>
      </c>
      <c r="FM1" s="114" t="s">
        <v>168</v>
      </c>
      <c r="FN1" s="114" t="s">
        <v>169</v>
      </c>
      <c r="FO1" s="114" t="s">
        <v>170</v>
      </c>
      <c r="FP1" s="114" t="s">
        <v>171</v>
      </c>
      <c r="FQ1" s="114" t="s">
        <v>172</v>
      </c>
      <c r="FR1" s="114" t="s">
        <v>173</v>
      </c>
      <c r="FS1" s="114" t="s">
        <v>174</v>
      </c>
      <c r="FT1" s="114" t="s">
        <v>175</v>
      </c>
      <c r="FU1" s="114" t="s">
        <v>176</v>
      </c>
      <c r="FV1" s="114" t="s">
        <v>177</v>
      </c>
      <c r="FW1" s="114" t="s">
        <v>178</v>
      </c>
      <c r="FX1" s="114" t="s">
        <v>179</v>
      </c>
      <c r="FY1" s="114" t="s">
        <v>180</v>
      </c>
      <c r="FZ1" s="114" t="s">
        <v>181</v>
      </c>
      <c r="GA1" s="114" t="s">
        <v>182</v>
      </c>
      <c r="GB1" s="114" t="s">
        <v>183</v>
      </c>
      <c r="GC1" s="114" t="s">
        <v>184</v>
      </c>
      <c r="GD1" s="114" t="s">
        <v>185</v>
      </c>
      <c r="GE1" s="114" t="s">
        <v>186</v>
      </c>
      <c r="GF1" s="114" t="s">
        <v>187</v>
      </c>
      <c r="GG1" s="114" t="s">
        <v>188</v>
      </c>
      <c r="GH1" s="114" t="s">
        <v>189</v>
      </c>
      <c r="GI1" s="114" t="s">
        <v>190</v>
      </c>
      <c r="GJ1" s="114" t="s">
        <v>191</v>
      </c>
      <c r="GK1" s="114" t="s">
        <v>192</v>
      </c>
      <c r="GL1" s="114" t="s">
        <v>193</v>
      </c>
      <c r="GM1" s="114" t="s">
        <v>194</v>
      </c>
      <c r="GN1" s="114" t="s">
        <v>195</v>
      </c>
      <c r="GO1" s="114" t="s">
        <v>196</v>
      </c>
      <c r="GP1" s="114" t="s">
        <v>197</v>
      </c>
      <c r="GQ1" s="114" t="s">
        <v>198</v>
      </c>
      <c r="GR1" s="114" t="s">
        <v>199</v>
      </c>
      <c r="GS1" s="114" t="s">
        <v>200</v>
      </c>
      <c r="GT1" s="114" t="s">
        <v>201</v>
      </c>
      <c r="GU1" s="114" t="s">
        <v>202</v>
      </c>
      <c r="GV1" s="114" t="s">
        <v>203</v>
      </c>
      <c r="GW1" s="114" t="s">
        <v>204</v>
      </c>
      <c r="GX1" s="114" t="s">
        <v>205</v>
      </c>
      <c r="GY1" s="114" t="s">
        <v>206</v>
      </c>
      <c r="GZ1" s="114" t="s">
        <v>207</v>
      </c>
      <c r="HA1" s="114" t="s">
        <v>208</v>
      </c>
      <c r="HB1" s="114" t="s">
        <v>209</v>
      </c>
      <c r="HC1" s="114" t="s">
        <v>210</v>
      </c>
      <c r="HD1" s="114" t="s">
        <v>211</v>
      </c>
      <c r="HE1" s="114" t="s">
        <v>212</v>
      </c>
      <c r="HF1" s="114" t="s">
        <v>213</v>
      </c>
      <c r="HG1" s="114" t="s">
        <v>214</v>
      </c>
      <c r="HH1" s="114" t="s">
        <v>215</v>
      </c>
      <c r="HI1" s="114" t="s">
        <v>216</v>
      </c>
      <c r="HJ1" s="114" t="s">
        <v>217</v>
      </c>
      <c r="HK1" s="114" t="s">
        <v>218</v>
      </c>
      <c r="HL1" s="114" t="s">
        <v>219</v>
      </c>
      <c r="HM1" s="114" t="s">
        <v>220</v>
      </c>
      <c r="HN1" s="114" t="s">
        <v>221</v>
      </c>
      <c r="HO1" s="114" t="s">
        <v>222</v>
      </c>
      <c r="HP1" s="114" t="s">
        <v>223</v>
      </c>
      <c r="HQ1" s="114" t="s">
        <v>224</v>
      </c>
      <c r="HR1" s="114" t="s">
        <v>225</v>
      </c>
      <c r="HS1" s="114" t="s">
        <v>226</v>
      </c>
      <c r="HT1" s="114" t="s">
        <v>227</v>
      </c>
      <c r="HU1" s="114" t="s">
        <v>228</v>
      </c>
      <c r="HV1" s="114" t="s">
        <v>229</v>
      </c>
      <c r="HW1" s="114" t="s">
        <v>230</v>
      </c>
      <c r="HX1" s="114" t="s">
        <v>231</v>
      </c>
      <c r="HY1" s="114" t="s">
        <v>232</v>
      </c>
      <c r="HZ1" s="114" t="s">
        <v>233</v>
      </c>
      <c r="IA1" s="114" t="s">
        <v>234</v>
      </c>
      <c r="IB1" s="115"/>
      <c r="IC1" t="s">
        <v>241</v>
      </c>
    </row>
    <row r="2" spans="1:237" ht="16" x14ac:dyDescent="0.2">
      <c r="A2" s="114">
        <v>351770</v>
      </c>
      <c r="B2" s="116" t="s">
        <v>379</v>
      </c>
      <c r="C2" s="116" t="s">
        <v>235</v>
      </c>
      <c r="D2" s="116">
        <v>2021</v>
      </c>
      <c r="E2" s="116">
        <v>35177011</v>
      </c>
      <c r="F2" s="116" t="s">
        <v>380</v>
      </c>
      <c r="G2" s="116" t="s">
        <v>381</v>
      </c>
      <c r="H2" s="116" t="s">
        <v>236</v>
      </c>
      <c r="I2" s="116" t="s">
        <v>237</v>
      </c>
      <c r="J2" s="116" t="s">
        <v>382</v>
      </c>
      <c r="K2" s="116">
        <v>1</v>
      </c>
      <c r="L2" s="116">
        <v>0</v>
      </c>
      <c r="M2" s="116">
        <v>0</v>
      </c>
      <c r="N2" s="116">
        <v>1</v>
      </c>
      <c r="O2" s="116">
        <v>1</v>
      </c>
      <c r="P2" s="116">
        <v>1</v>
      </c>
      <c r="Q2" s="116">
        <v>1</v>
      </c>
      <c r="R2" s="116">
        <v>1</v>
      </c>
      <c r="S2" s="116">
        <v>0</v>
      </c>
      <c r="T2" s="116">
        <v>0</v>
      </c>
      <c r="U2" s="115"/>
      <c r="V2" s="115"/>
      <c r="W2" s="116" t="s">
        <v>239</v>
      </c>
      <c r="X2" s="116" t="s">
        <v>239</v>
      </c>
      <c r="Y2" s="115"/>
      <c r="Z2" s="117">
        <v>21394</v>
      </c>
      <c r="AA2" s="117">
        <v>20710</v>
      </c>
      <c r="AB2" s="117">
        <v>20332</v>
      </c>
      <c r="AC2" s="117">
        <v>20329</v>
      </c>
      <c r="AD2" s="117">
        <v>6548</v>
      </c>
      <c r="AE2" s="117">
        <v>6477</v>
      </c>
      <c r="AF2" s="117">
        <v>6969</v>
      </c>
      <c r="AG2" s="117">
        <v>6884</v>
      </c>
      <c r="AH2" s="117">
        <v>6548</v>
      </c>
      <c r="AI2" s="117">
        <v>6455</v>
      </c>
      <c r="AJ2" s="116">
        <v>97.19</v>
      </c>
      <c r="AK2" s="116">
        <v>97.19</v>
      </c>
      <c r="AL2" s="118">
        <v>2250.46</v>
      </c>
      <c r="AM2" s="116">
        <v>0</v>
      </c>
      <c r="AN2" s="118">
        <v>1245.23</v>
      </c>
      <c r="AO2" s="118">
        <v>1245.23</v>
      </c>
      <c r="AP2" s="118">
        <v>1708.09</v>
      </c>
      <c r="AQ2" s="118">
        <v>2250.46</v>
      </c>
      <c r="AR2" s="117">
        <v>6524</v>
      </c>
      <c r="AS2" s="117">
        <v>6410</v>
      </c>
      <c r="AT2" s="117">
        <v>6969</v>
      </c>
      <c r="AU2" s="117">
        <v>6861</v>
      </c>
      <c r="AV2" s="118">
        <v>2250.46</v>
      </c>
      <c r="AW2" s="116">
        <v>0</v>
      </c>
      <c r="AX2" s="116">
        <v>0</v>
      </c>
      <c r="AY2" s="116">
        <v>0</v>
      </c>
      <c r="AZ2" s="118">
        <v>1175.3</v>
      </c>
      <c r="BA2" s="117">
        <v>8033</v>
      </c>
      <c r="BB2" s="117">
        <v>7914</v>
      </c>
      <c r="BC2" s="117">
        <v>6524</v>
      </c>
      <c r="BD2" s="117">
        <v>6406</v>
      </c>
      <c r="BE2" s="116">
        <v>0</v>
      </c>
      <c r="BF2" s="115"/>
      <c r="BG2" s="117">
        <v>20332</v>
      </c>
      <c r="BH2" s="117">
        <v>20329</v>
      </c>
      <c r="BI2" s="118">
        <v>2250.46</v>
      </c>
      <c r="BJ2" s="118">
        <v>2006.17</v>
      </c>
      <c r="BK2" s="117">
        <v>20332</v>
      </c>
      <c r="BL2" s="117">
        <v>20329</v>
      </c>
      <c r="BM2" s="117">
        <v>6506</v>
      </c>
      <c r="BN2" s="117">
        <v>6431</v>
      </c>
      <c r="BO2" s="117">
        <v>6918</v>
      </c>
      <c r="BP2" s="117">
        <v>6840</v>
      </c>
      <c r="BQ2" s="116">
        <v>83</v>
      </c>
      <c r="BR2" s="116">
        <v>83</v>
      </c>
      <c r="BS2" s="118">
        <v>1794.73</v>
      </c>
      <c r="BT2" s="118">
        <v>1794.73</v>
      </c>
      <c r="BU2" s="118">
        <v>1366.47</v>
      </c>
      <c r="BV2" s="117">
        <v>6490</v>
      </c>
      <c r="BW2" s="117">
        <v>6392</v>
      </c>
      <c r="BX2" s="117">
        <v>7965</v>
      </c>
      <c r="BY2" s="117">
        <v>7810</v>
      </c>
      <c r="BZ2" s="116">
        <v>0</v>
      </c>
      <c r="CA2" s="116">
        <v>0</v>
      </c>
      <c r="CB2" s="116">
        <v>0</v>
      </c>
      <c r="CC2" s="116">
        <v>0</v>
      </c>
      <c r="CD2" s="115"/>
      <c r="CE2" s="117">
        <v>20332</v>
      </c>
      <c r="CF2" s="117">
        <v>20329</v>
      </c>
      <c r="CG2" s="116">
        <v>109.17</v>
      </c>
      <c r="CH2" s="118">
        <v>5934983.7800000003</v>
      </c>
      <c r="CI2" s="118">
        <v>3338048.25</v>
      </c>
      <c r="CJ2" s="118">
        <v>2596935.5299999998</v>
      </c>
      <c r="CK2" s="118">
        <v>252085.47</v>
      </c>
      <c r="CL2" s="118">
        <v>6187069.25</v>
      </c>
      <c r="CM2" s="118">
        <v>6399922</v>
      </c>
      <c r="CN2" s="116">
        <v>0</v>
      </c>
      <c r="CO2" s="118">
        <v>1161135.68</v>
      </c>
      <c r="CP2" s="118">
        <v>1040854.71</v>
      </c>
      <c r="CQ2" s="118">
        <v>1206566.92</v>
      </c>
      <c r="CR2" s="118">
        <v>55145</v>
      </c>
      <c r="CS2" s="118">
        <v>1440630.91</v>
      </c>
      <c r="CT2" s="116">
        <v>0</v>
      </c>
      <c r="CU2" s="118">
        <v>3908865.71</v>
      </c>
      <c r="CV2" s="118">
        <v>386298.12</v>
      </c>
      <c r="CW2" s="118">
        <v>6368210.6799999997</v>
      </c>
      <c r="CX2" s="116">
        <v>0</v>
      </c>
      <c r="CY2" s="118">
        <v>460295.28</v>
      </c>
      <c r="CZ2" s="116">
        <v>0</v>
      </c>
      <c r="DA2" s="118">
        <v>586299.87</v>
      </c>
      <c r="DB2" s="116">
        <v>0.01</v>
      </c>
      <c r="DC2" s="118">
        <v>155309.23000000001</v>
      </c>
      <c r="DD2" s="118">
        <v>1030395.34</v>
      </c>
      <c r="DE2" s="118">
        <v>119513.79</v>
      </c>
      <c r="DF2" s="116">
        <v>15</v>
      </c>
      <c r="DG2" s="116">
        <v>15</v>
      </c>
      <c r="DH2" s="118">
        <v>620223.01</v>
      </c>
      <c r="DI2" s="118">
        <v>1612751.56</v>
      </c>
      <c r="DJ2" s="118">
        <v>1305218.3600000001</v>
      </c>
      <c r="DK2" s="116">
        <v>0</v>
      </c>
      <c r="DL2" s="116">
        <v>0</v>
      </c>
      <c r="DM2" s="118">
        <v>1305218.3600000001</v>
      </c>
      <c r="DN2" s="118">
        <v>1241744.49</v>
      </c>
      <c r="DO2" s="118">
        <v>386298.11</v>
      </c>
      <c r="DP2" s="116">
        <v>0.01</v>
      </c>
      <c r="DQ2" s="118">
        <v>1628042.61</v>
      </c>
      <c r="DR2" s="116">
        <v>0</v>
      </c>
      <c r="DS2" s="116">
        <v>0</v>
      </c>
      <c r="DT2" s="116">
        <v>0</v>
      </c>
      <c r="DU2" s="116">
        <v>0</v>
      </c>
      <c r="DV2" s="116">
        <v>0</v>
      </c>
      <c r="DW2" s="116">
        <v>0</v>
      </c>
      <c r="DX2" s="116">
        <v>0</v>
      </c>
      <c r="DY2" s="116">
        <v>0</v>
      </c>
      <c r="DZ2" s="116">
        <v>0</v>
      </c>
      <c r="EA2" s="116">
        <v>0</v>
      </c>
      <c r="EB2" s="116">
        <v>0</v>
      </c>
      <c r="EC2" s="116">
        <v>0</v>
      </c>
      <c r="ED2" s="116">
        <v>0</v>
      </c>
      <c r="EE2" s="116">
        <v>0</v>
      </c>
      <c r="EF2" s="116">
        <v>0</v>
      </c>
      <c r="EG2" s="116">
        <v>0</v>
      </c>
      <c r="EH2" s="116">
        <v>0</v>
      </c>
      <c r="EI2" s="116">
        <v>0</v>
      </c>
      <c r="EJ2" s="115"/>
      <c r="EK2" s="116">
        <v>4</v>
      </c>
      <c r="EL2" s="116">
        <v>78</v>
      </c>
      <c r="EM2" s="117">
        <v>7766</v>
      </c>
      <c r="EN2" s="117">
        <v>2800</v>
      </c>
      <c r="EO2" s="116">
        <v>0</v>
      </c>
      <c r="EP2" s="117">
        <v>2800</v>
      </c>
      <c r="EQ2" s="116">
        <v>0</v>
      </c>
      <c r="ER2" s="116">
        <v>15</v>
      </c>
      <c r="ES2" s="116">
        <v>71</v>
      </c>
      <c r="ET2" s="116">
        <v>546</v>
      </c>
      <c r="EU2" s="117">
        <v>1248</v>
      </c>
      <c r="EV2" s="117">
        <v>1248</v>
      </c>
      <c r="EW2" s="116">
        <v>2</v>
      </c>
      <c r="EX2" s="116">
        <v>13</v>
      </c>
      <c r="EY2" s="117">
        <v>12778</v>
      </c>
      <c r="EZ2" s="117">
        <v>11356</v>
      </c>
      <c r="FA2" s="118">
        <v>4438</v>
      </c>
      <c r="FB2" s="117">
        <v>1248</v>
      </c>
      <c r="FC2" s="116">
        <v>0</v>
      </c>
      <c r="FD2" s="117">
        <v>1248</v>
      </c>
      <c r="FE2" s="116">
        <v>1.06</v>
      </c>
      <c r="FF2" s="116">
        <v>920.37</v>
      </c>
      <c r="FG2" s="116">
        <v>2.0699999999999998</v>
      </c>
      <c r="FH2" s="116">
        <v>1.93</v>
      </c>
      <c r="FI2" s="116">
        <v>1.95</v>
      </c>
      <c r="FJ2" s="116">
        <v>1.9</v>
      </c>
      <c r="FK2" s="116">
        <v>18.95</v>
      </c>
      <c r="FL2" s="118">
        <v>80437.789999999994</v>
      </c>
      <c r="FM2" s="116">
        <v>99.83</v>
      </c>
      <c r="FN2" s="116">
        <v>55.33</v>
      </c>
      <c r="FO2" s="116">
        <v>100</v>
      </c>
      <c r="FP2" s="116">
        <v>93.2</v>
      </c>
      <c r="FQ2" s="116">
        <v>24.1</v>
      </c>
      <c r="FR2" s="116">
        <v>15.01</v>
      </c>
      <c r="FS2" s="116">
        <v>100</v>
      </c>
      <c r="FT2" s="116">
        <v>100</v>
      </c>
      <c r="FU2" s="116">
        <v>20.55</v>
      </c>
      <c r="FV2" s="116">
        <v>15</v>
      </c>
      <c r="FW2" s="116">
        <v>920.37</v>
      </c>
      <c r="FX2" s="116">
        <v>12.19</v>
      </c>
      <c r="FY2" s="116">
        <v>10.52</v>
      </c>
      <c r="FZ2" s="116">
        <v>167.81</v>
      </c>
      <c r="GA2" s="116">
        <v>98.17</v>
      </c>
      <c r="GB2" s="116">
        <v>98.17</v>
      </c>
      <c r="GC2" s="116">
        <v>27.08</v>
      </c>
      <c r="GD2" s="116">
        <v>1.27</v>
      </c>
      <c r="GE2" s="116">
        <v>283.14</v>
      </c>
      <c r="GF2" s="116">
        <v>75.900000000000006</v>
      </c>
      <c r="GG2" s="116">
        <v>-3.44</v>
      </c>
      <c r="GH2" s="116">
        <v>65.86</v>
      </c>
      <c r="GI2" s="116">
        <v>20.329999999999998</v>
      </c>
      <c r="GJ2" s="116">
        <v>20.329999999999998</v>
      </c>
      <c r="GK2" s="116">
        <v>27.43</v>
      </c>
      <c r="GL2" s="116">
        <v>10.45</v>
      </c>
      <c r="GM2" s="116">
        <v>30.87</v>
      </c>
      <c r="GN2" s="116">
        <v>30.87</v>
      </c>
      <c r="GO2" s="116">
        <v>36.86</v>
      </c>
      <c r="GP2" s="116">
        <v>1.41</v>
      </c>
      <c r="GQ2" s="116">
        <v>15.87</v>
      </c>
      <c r="GR2" s="116">
        <v>53.95</v>
      </c>
      <c r="GS2" s="116">
        <v>41.97</v>
      </c>
      <c r="GT2" s="116">
        <v>4.07</v>
      </c>
      <c r="GU2" s="116">
        <v>93.37</v>
      </c>
      <c r="GV2" s="116">
        <v>100</v>
      </c>
      <c r="GW2" s="116">
        <v>2.2999999999999998</v>
      </c>
      <c r="GX2" s="116">
        <v>100</v>
      </c>
      <c r="GY2" s="116">
        <v>98.17</v>
      </c>
      <c r="GZ2" s="116">
        <v>1.1599999999999999</v>
      </c>
      <c r="HA2" s="116">
        <v>44.67</v>
      </c>
      <c r="HB2" s="116">
        <v>28.34</v>
      </c>
      <c r="HC2" s="116">
        <v>422.89</v>
      </c>
      <c r="HD2" s="116">
        <v>55.33</v>
      </c>
      <c r="HE2" s="116">
        <v>14.98</v>
      </c>
      <c r="HF2" s="116">
        <v>67.56</v>
      </c>
      <c r="HG2" s="116">
        <v>95.04</v>
      </c>
      <c r="HH2" s="116">
        <v>95.04</v>
      </c>
      <c r="HI2" s="116">
        <v>100</v>
      </c>
      <c r="HJ2" s="116">
        <v>0.89</v>
      </c>
      <c r="HK2" s="116">
        <v>0.06</v>
      </c>
      <c r="HL2" s="116">
        <v>0.68</v>
      </c>
      <c r="HM2" s="118">
        <v>1941.5</v>
      </c>
      <c r="HN2" s="116">
        <v>19.5</v>
      </c>
      <c r="HO2" s="116">
        <v>273</v>
      </c>
      <c r="HP2" s="116">
        <v>6.5</v>
      </c>
      <c r="HQ2" s="116">
        <v>0</v>
      </c>
      <c r="HR2" s="116">
        <v>0</v>
      </c>
      <c r="HS2" s="116">
        <v>4.7300000000000004</v>
      </c>
      <c r="HT2" s="116">
        <v>224.36</v>
      </c>
      <c r="HU2" s="116">
        <v>224.36</v>
      </c>
      <c r="HV2" s="116">
        <v>0.18</v>
      </c>
      <c r="HW2" s="116">
        <v>0.39</v>
      </c>
      <c r="HX2" s="116">
        <v>0</v>
      </c>
      <c r="HY2" s="116">
        <v>100</v>
      </c>
      <c r="HZ2" s="116">
        <v>115.59</v>
      </c>
      <c r="IA2" s="116">
        <v>865.4</v>
      </c>
      <c r="IB2" s="115"/>
    </row>
    <row r="3" spans="1:237" ht="16" x14ac:dyDescent="0.2">
      <c r="A3" s="114">
        <v>351770</v>
      </c>
      <c r="B3" s="116" t="s">
        <v>379</v>
      </c>
      <c r="C3" s="116" t="s">
        <v>235</v>
      </c>
      <c r="D3" s="116">
        <v>2020</v>
      </c>
      <c r="E3" s="116">
        <v>35177011</v>
      </c>
      <c r="F3" s="116" t="s">
        <v>380</v>
      </c>
      <c r="G3" s="116" t="s">
        <v>381</v>
      </c>
      <c r="H3" s="116" t="s">
        <v>236</v>
      </c>
      <c r="I3" s="116" t="s">
        <v>237</v>
      </c>
      <c r="J3" s="116" t="s">
        <v>382</v>
      </c>
      <c r="K3" s="116">
        <v>1</v>
      </c>
      <c r="L3" s="116">
        <v>0</v>
      </c>
      <c r="M3" s="116">
        <v>0</v>
      </c>
      <c r="N3" s="116">
        <v>1</v>
      </c>
      <c r="O3" s="116">
        <v>1</v>
      </c>
      <c r="P3" s="116">
        <v>1</v>
      </c>
      <c r="Q3" s="116">
        <v>1</v>
      </c>
      <c r="R3" s="116">
        <v>1</v>
      </c>
      <c r="S3" s="116">
        <v>0</v>
      </c>
      <c r="T3" s="116">
        <v>0</v>
      </c>
      <c r="U3" s="115"/>
      <c r="V3" s="115"/>
      <c r="W3" s="116" t="s">
        <v>239</v>
      </c>
      <c r="X3" s="116" t="s">
        <v>239</v>
      </c>
      <c r="Y3" s="115"/>
      <c r="Z3" s="117">
        <v>21308</v>
      </c>
      <c r="AA3" s="117">
        <v>20627</v>
      </c>
      <c r="AB3" s="117">
        <v>20329</v>
      </c>
      <c r="AC3" s="117">
        <v>21220</v>
      </c>
      <c r="AD3" s="117">
        <v>6477</v>
      </c>
      <c r="AE3" s="117">
        <v>6444</v>
      </c>
      <c r="AF3" s="117">
        <v>6884</v>
      </c>
      <c r="AG3" s="117">
        <v>6860</v>
      </c>
      <c r="AH3" s="117">
        <v>6455</v>
      </c>
      <c r="AI3" s="117">
        <v>6429</v>
      </c>
      <c r="AJ3" s="116">
        <v>97.19</v>
      </c>
      <c r="AK3" s="116">
        <v>85</v>
      </c>
      <c r="AL3" s="118">
        <v>2124.9299999999998</v>
      </c>
      <c r="AM3" s="116">
        <v>0</v>
      </c>
      <c r="AN3" s="118">
        <v>1249.67</v>
      </c>
      <c r="AO3" s="118">
        <v>1249.68</v>
      </c>
      <c r="AP3" s="118">
        <v>1659.12</v>
      </c>
      <c r="AQ3" s="118">
        <v>2124.9299999999998</v>
      </c>
      <c r="AR3" s="117">
        <v>6410</v>
      </c>
      <c r="AS3" s="117">
        <v>6371</v>
      </c>
      <c r="AT3" s="117">
        <v>6861</v>
      </c>
      <c r="AU3" s="117">
        <v>6842</v>
      </c>
      <c r="AV3" s="118">
        <v>2124.9299999999998</v>
      </c>
      <c r="AW3" s="116">
        <v>0</v>
      </c>
      <c r="AX3" s="116">
        <v>0</v>
      </c>
      <c r="AY3" s="116">
        <v>0</v>
      </c>
      <c r="AZ3" s="118">
        <v>1186.1099999999999</v>
      </c>
      <c r="BA3" s="117">
        <v>7914</v>
      </c>
      <c r="BB3" s="117">
        <v>7887</v>
      </c>
      <c r="BC3" s="117">
        <v>6406</v>
      </c>
      <c r="BD3" s="117">
        <v>6369</v>
      </c>
      <c r="BE3" s="116">
        <v>0</v>
      </c>
      <c r="BF3" s="115"/>
      <c r="BG3" s="117">
        <v>20329</v>
      </c>
      <c r="BH3" s="117">
        <v>20541</v>
      </c>
      <c r="BI3" s="118">
        <v>2124.9299999999998</v>
      </c>
      <c r="BJ3" s="118">
        <v>1889.89</v>
      </c>
      <c r="BK3" s="117">
        <v>20329</v>
      </c>
      <c r="BL3" s="117">
        <v>21220</v>
      </c>
      <c r="BM3" s="117">
        <v>6431</v>
      </c>
      <c r="BN3" s="117">
        <v>6413</v>
      </c>
      <c r="BO3" s="117">
        <v>6840</v>
      </c>
      <c r="BP3" s="117">
        <v>6831</v>
      </c>
      <c r="BQ3" s="116">
        <v>83</v>
      </c>
      <c r="BR3" s="116">
        <v>85</v>
      </c>
      <c r="BS3" s="118">
        <v>1187.21</v>
      </c>
      <c r="BT3" s="118">
        <v>1187.21</v>
      </c>
      <c r="BU3" s="118">
        <v>1327.3</v>
      </c>
      <c r="BV3" s="117">
        <v>6392</v>
      </c>
      <c r="BW3" s="117">
        <v>6354</v>
      </c>
      <c r="BX3" s="117">
        <v>7810</v>
      </c>
      <c r="BY3" s="117">
        <v>7669</v>
      </c>
      <c r="BZ3" s="116">
        <v>0</v>
      </c>
      <c r="CA3" s="116">
        <v>0</v>
      </c>
      <c r="CB3" s="116">
        <v>0</v>
      </c>
      <c r="CC3" s="116">
        <v>0</v>
      </c>
      <c r="CD3" s="115"/>
      <c r="CE3" s="117">
        <v>20329</v>
      </c>
      <c r="CF3" s="117">
        <v>20541</v>
      </c>
      <c r="CG3" s="116">
        <v>118.98</v>
      </c>
      <c r="CH3" s="118">
        <v>6027313.4100000001</v>
      </c>
      <c r="CI3" s="118">
        <v>3400871.37</v>
      </c>
      <c r="CJ3" s="118">
        <v>2626442.04</v>
      </c>
      <c r="CK3" s="118">
        <v>131618</v>
      </c>
      <c r="CL3" s="118">
        <v>6158931.4100000001</v>
      </c>
      <c r="CM3" s="118">
        <v>6751777.9299999997</v>
      </c>
      <c r="CN3" s="116">
        <v>0</v>
      </c>
      <c r="CO3" s="118">
        <v>1040854.71</v>
      </c>
      <c r="CP3" s="118">
        <v>1367619.95</v>
      </c>
      <c r="CQ3" s="118">
        <v>977329.6</v>
      </c>
      <c r="CR3" s="118">
        <v>64876.95</v>
      </c>
      <c r="CS3" s="118">
        <v>1098511.1399999999</v>
      </c>
      <c r="CT3" s="116">
        <v>0</v>
      </c>
      <c r="CU3" s="118">
        <v>3865403.87</v>
      </c>
      <c r="CV3" s="118">
        <v>379392.3</v>
      </c>
      <c r="CW3" s="118">
        <v>6276722.75</v>
      </c>
      <c r="CX3" s="116">
        <v>0</v>
      </c>
      <c r="CY3" s="118">
        <v>396079.03</v>
      </c>
      <c r="CZ3" s="116">
        <v>0</v>
      </c>
      <c r="DA3" s="118">
        <v>589243.35</v>
      </c>
      <c r="DB3" s="118">
        <v>157263.01</v>
      </c>
      <c r="DC3" s="118">
        <v>131523.75</v>
      </c>
      <c r="DD3" s="118">
        <v>317579.93</v>
      </c>
      <c r="DE3" s="118">
        <v>86999.06</v>
      </c>
      <c r="DF3" s="116">
        <v>15</v>
      </c>
      <c r="DG3" s="116">
        <v>15</v>
      </c>
      <c r="DH3" s="118">
        <v>1135442.83</v>
      </c>
      <c r="DI3" s="118">
        <v>1478584.54</v>
      </c>
      <c r="DJ3" s="118">
        <v>536102.74</v>
      </c>
      <c r="DK3" s="116">
        <v>0</v>
      </c>
      <c r="DL3" s="116">
        <v>0</v>
      </c>
      <c r="DM3" s="118">
        <v>536102.74</v>
      </c>
      <c r="DN3" s="116">
        <v>0</v>
      </c>
      <c r="DO3" s="118">
        <v>379392.3</v>
      </c>
      <c r="DP3" s="116">
        <v>0</v>
      </c>
      <c r="DQ3" s="118">
        <v>379392.3</v>
      </c>
      <c r="DR3" s="116">
        <v>0</v>
      </c>
      <c r="DS3" s="116">
        <v>0</v>
      </c>
      <c r="DT3" s="116">
        <v>0</v>
      </c>
      <c r="DU3" s="116">
        <v>0</v>
      </c>
      <c r="DV3" s="116">
        <v>0</v>
      </c>
      <c r="DW3" s="116">
        <v>0</v>
      </c>
      <c r="DX3" s="116">
        <v>0</v>
      </c>
      <c r="DY3" s="116">
        <v>0</v>
      </c>
      <c r="DZ3" s="116">
        <v>0</v>
      </c>
      <c r="EA3" s="116">
        <v>0</v>
      </c>
      <c r="EB3" s="116">
        <v>0</v>
      </c>
      <c r="EC3" s="116">
        <v>0</v>
      </c>
      <c r="ED3" s="116">
        <v>0</v>
      </c>
      <c r="EE3" s="116">
        <v>0</v>
      </c>
      <c r="EF3" s="116">
        <v>0</v>
      </c>
      <c r="EG3" s="116">
        <v>0</v>
      </c>
      <c r="EH3" s="116">
        <v>0</v>
      </c>
      <c r="EI3" s="116">
        <v>0</v>
      </c>
      <c r="EJ3" s="115"/>
      <c r="EK3" s="116">
        <v>4</v>
      </c>
      <c r="EL3" s="116">
        <v>78</v>
      </c>
      <c r="EM3" s="117">
        <v>1875</v>
      </c>
      <c r="EN3" s="117">
        <v>2808</v>
      </c>
      <c r="EO3" s="116">
        <v>0</v>
      </c>
      <c r="EP3" s="117">
        <v>2808</v>
      </c>
      <c r="EQ3" s="116">
        <v>0</v>
      </c>
      <c r="ER3" s="116">
        <v>8</v>
      </c>
      <c r="ES3" s="116">
        <v>70</v>
      </c>
      <c r="ET3" s="116">
        <v>0</v>
      </c>
      <c r="EU3" s="117">
        <v>1248</v>
      </c>
      <c r="EV3" s="117">
        <v>1248</v>
      </c>
      <c r="EW3" s="116">
        <v>0</v>
      </c>
      <c r="EX3" s="116">
        <v>0</v>
      </c>
      <c r="EY3" s="117">
        <v>11436</v>
      </c>
      <c r="EZ3" s="117">
        <v>10652</v>
      </c>
      <c r="FA3" s="118">
        <v>4634</v>
      </c>
      <c r="FB3" s="117">
        <v>1248</v>
      </c>
      <c r="FC3" s="116">
        <v>0</v>
      </c>
      <c r="FD3" s="117">
        <v>1248</v>
      </c>
      <c r="FE3" s="116">
        <v>1.06</v>
      </c>
      <c r="FF3" s="116">
        <v>913.83</v>
      </c>
      <c r="FG3" s="116">
        <v>2.1</v>
      </c>
      <c r="FH3" s="116">
        <v>2.02</v>
      </c>
      <c r="FI3" s="116">
        <v>2.0499999999999998</v>
      </c>
      <c r="FJ3" s="116">
        <v>1.98</v>
      </c>
      <c r="FK3" s="116">
        <v>15.57</v>
      </c>
      <c r="FL3" s="118">
        <v>65155.31</v>
      </c>
      <c r="FM3" s="116">
        <v>99.71</v>
      </c>
      <c r="FN3" s="116">
        <v>58.81</v>
      </c>
      <c r="FO3" s="116">
        <v>100</v>
      </c>
      <c r="FP3" s="116">
        <v>96.03</v>
      </c>
      <c r="FQ3" s="116">
        <v>21.92</v>
      </c>
      <c r="FR3" s="116">
        <v>15.2</v>
      </c>
      <c r="FS3" s="116">
        <v>95</v>
      </c>
      <c r="FT3" s="116">
        <v>100</v>
      </c>
      <c r="FU3" s="116">
        <v>20.12</v>
      </c>
      <c r="FV3" s="116">
        <v>15</v>
      </c>
      <c r="FW3" s="116">
        <v>913.83</v>
      </c>
      <c r="FX3" s="116">
        <v>11.53</v>
      </c>
      <c r="FY3" s="116">
        <v>10.85</v>
      </c>
      <c r="FZ3" s="116">
        <v>164.81</v>
      </c>
      <c r="GA3" s="116">
        <v>98.56</v>
      </c>
      <c r="GB3" s="116">
        <v>98.56</v>
      </c>
      <c r="GC3" s="116">
        <v>25.77</v>
      </c>
      <c r="GD3" s="116">
        <v>1.29</v>
      </c>
      <c r="GE3" s="116">
        <v>281.99</v>
      </c>
      <c r="GF3" s="116">
        <v>78.08</v>
      </c>
      <c r="GG3" s="116">
        <v>-9.6300000000000008</v>
      </c>
      <c r="GH3" s="116">
        <v>64.13</v>
      </c>
      <c r="GI3" s="116">
        <v>16.22</v>
      </c>
      <c r="GJ3" s="116">
        <v>16.22</v>
      </c>
      <c r="GK3" s="116">
        <v>6.29</v>
      </c>
      <c r="GL3" s="116">
        <v>18.84</v>
      </c>
      <c r="GM3" s="116">
        <v>25.28</v>
      </c>
      <c r="GN3" s="116">
        <v>25.28</v>
      </c>
      <c r="GO3" s="116">
        <v>28.42</v>
      </c>
      <c r="GP3" s="116">
        <v>1.68</v>
      </c>
      <c r="GQ3" s="116">
        <v>29.37</v>
      </c>
      <c r="GR3" s="116">
        <v>55.22</v>
      </c>
      <c r="GS3" s="116">
        <v>42.64</v>
      </c>
      <c r="GT3" s="116">
        <v>2.14</v>
      </c>
      <c r="GU3" s="116">
        <v>92.99</v>
      </c>
      <c r="GV3" s="116">
        <v>100</v>
      </c>
      <c r="GW3" s="116">
        <v>2.3199999999999998</v>
      </c>
      <c r="GX3" s="116">
        <v>95</v>
      </c>
      <c r="GY3" s="116">
        <v>98.56</v>
      </c>
      <c r="GZ3" s="116">
        <v>1.1599999999999999</v>
      </c>
      <c r="HA3" s="116">
        <v>41.19</v>
      </c>
      <c r="HB3" s="116">
        <v>26.32</v>
      </c>
      <c r="HC3" s="116">
        <v>371.17</v>
      </c>
      <c r="HD3" s="116">
        <v>58.81</v>
      </c>
      <c r="HE3" s="116">
        <v>15.15</v>
      </c>
      <c r="HF3" s="116">
        <v>60.84</v>
      </c>
      <c r="HG3" s="116">
        <v>95.41</v>
      </c>
      <c r="HH3" s="116">
        <v>95.41</v>
      </c>
      <c r="HI3" s="116">
        <v>100</v>
      </c>
      <c r="HJ3" s="116">
        <v>0.89</v>
      </c>
      <c r="HK3" s="116">
        <v>0.1</v>
      </c>
      <c r="HL3" s="116">
        <v>0.55000000000000004</v>
      </c>
      <c r="HM3" s="116">
        <v>468.75</v>
      </c>
      <c r="HN3" s="116">
        <v>19.5</v>
      </c>
      <c r="HO3" s="115"/>
      <c r="HP3" s="115"/>
      <c r="HQ3" s="116">
        <v>0</v>
      </c>
      <c r="HR3" s="116">
        <v>0</v>
      </c>
      <c r="HS3" s="116">
        <v>8.75</v>
      </c>
      <c r="HT3" s="116">
        <v>225</v>
      </c>
      <c r="HU3" s="116">
        <v>225</v>
      </c>
      <c r="HV3" s="116">
        <v>0.1</v>
      </c>
      <c r="HW3" s="116">
        <v>0.44</v>
      </c>
      <c r="HX3" s="116">
        <v>0</v>
      </c>
      <c r="HY3" s="116">
        <v>100</v>
      </c>
      <c r="HZ3" s="116">
        <v>153.38</v>
      </c>
      <c r="IA3" s="116">
        <v>858.83</v>
      </c>
      <c r="IB3" s="115"/>
    </row>
    <row r="4" spans="1:237" ht="16" x14ac:dyDescent="0.2">
      <c r="A4" s="114">
        <v>351770</v>
      </c>
      <c r="B4" s="116" t="s">
        <v>379</v>
      </c>
      <c r="C4" s="116" t="s">
        <v>235</v>
      </c>
      <c r="D4" s="116">
        <v>2019</v>
      </c>
      <c r="E4" s="116">
        <v>35177011</v>
      </c>
      <c r="F4" s="116" t="s">
        <v>380</v>
      </c>
      <c r="G4" s="116" t="s">
        <v>381</v>
      </c>
      <c r="H4" s="116" t="s">
        <v>236</v>
      </c>
      <c r="I4" s="116" t="s">
        <v>237</v>
      </c>
      <c r="J4" s="116" t="s">
        <v>382</v>
      </c>
      <c r="K4" s="116">
        <v>1</v>
      </c>
      <c r="L4" s="116">
        <v>0</v>
      </c>
      <c r="M4" s="116">
        <v>0</v>
      </c>
      <c r="N4" s="116">
        <v>1</v>
      </c>
      <c r="O4" s="116">
        <v>1</v>
      </c>
      <c r="P4" s="116">
        <v>1</v>
      </c>
      <c r="Q4" s="116">
        <v>1</v>
      </c>
      <c r="R4" s="116">
        <v>1</v>
      </c>
      <c r="S4" s="116">
        <v>0</v>
      </c>
      <c r="T4" s="116">
        <v>0</v>
      </c>
      <c r="U4" s="115"/>
      <c r="V4" s="115"/>
      <c r="W4" s="116" t="s">
        <v>239</v>
      </c>
      <c r="X4" s="116" t="s">
        <v>239</v>
      </c>
      <c r="Y4" s="115"/>
      <c r="Z4" s="117">
        <v>21220</v>
      </c>
      <c r="AA4" s="117">
        <v>20541</v>
      </c>
      <c r="AB4" s="117">
        <v>21220</v>
      </c>
      <c r="AC4" s="117">
        <v>21129</v>
      </c>
      <c r="AD4" s="117">
        <v>6444</v>
      </c>
      <c r="AE4" s="117">
        <v>6391</v>
      </c>
      <c r="AF4" s="117">
        <v>6860</v>
      </c>
      <c r="AG4" s="117">
        <v>6809</v>
      </c>
      <c r="AH4" s="117">
        <v>6429</v>
      </c>
      <c r="AI4" s="117">
        <v>6375</v>
      </c>
      <c r="AJ4" s="116">
        <v>85</v>
      </c>
      <c r="AK4" s="116">
        <v>68</v>
      </c>
      <c r="AL4" s="118">
        <v>1940.81</v>
      </c>
      <c r="AM4" s="116">
        <v>0</v>
      </c>
      <c r="AN4" s="118">
        <v>1175.4000000000001</v>
      </c>
      <c r="AO4" s="118">
        <v>1177.9000000000001</v>
      </c>
      <c r="AP4" s="118">
        <v>1437.91</v>
      </c>
      <c r="AQ4" s="118">
        <v>1940.81</v>
      </c>
      <c r="AR4" s="117">
        <v>6371</v>
      </c>
      <c r="AS4" s="117">
        <v>6307</v>
      </c>
      <c r="AT4" s="117">
        <v>6842</v>
      </c>
      <c r="AU4" s="117">
        <v>6709</v>
      </c>
      <c r="AV4" s="118">
        <v>1940.81</v>
      </c>
      <c r="AW4" s="116">
        <v>0</v>
      </c>
      <c r="AX4" s="116">
        <v>0</v>
      </c>
      <c r="AY4" s="116">
        <v>0</v>
      </c>
      <c r="AZ4" s="118">
        <v>1092.79</v>
      </c>
      <c r="BA4" s="117">
        <v>7887</v>
      </c>
      <c r="BB4" s="117">
        <v>7666</v>
      </c>
      <c r="BC4" s="117">
        <v>6369</v>
      </c>
      <c r="BD4" s="117">
        <v>6305</v>
      </c>
      <c r="BE4" s="116">
        <v>0</v>
      </c>
      <c r="BF4" s="115"/>
      <c r="BG4" s="117">
        <v>20541</v>
      </c>
      <c r="BH4" s="117">
        <v>20453</v>
      </c>
      <c r="BI4" s="118">
        <v>1940.81</v>
      </c>
      <c r="BJ4" s="118">
        <v>1620.96</v>
      </c>
      <c r="BK4" s="117">
        <v>21220</v>
      </c>
      <c r="BL4" s="117">
        <v>21129</v>
      </c>
      <c r="BM4" s="117">
        <v>6413</v>
      </c>
      <c r="BN4" s="117">
        <v>6334</v>
      </c>
      <c r="BO4" s="117">
        <v>6831</v>
      </c>
      <c r="BP4" s="117">
        <v>6759</v>
      </c>
      <c r="BQ4" s="116">
        <v>85</v>
      </c>
      <c r="BR4" s="116">
        <v>70</v>
      </c>
      <c r="BS4" s="118">
        <v>1000</v>
      </c>
      <c r="BT4" s="118">
        <v>1000</v>
      </c>
      <c r="BU4" s="118">
        <v>1150.33</v>
      </c>
      <c r="BV4" s="117">
        <v>6354</v>
      </c>
      <c r="BW4" s="117">
        <v>6276</v>
      </c>
      <c r="BX4" s="117">
        <v>7669</v>
      </c>
      <c r="BY4" s="117">
        <v>7666</v>
      </c>
      <c r="BZ4" s="116">
        <v>0</v>
      </c>
      <c r="CA4" s="116">
        <v>0</v>
      </c>
      <c r="CB4" s="116">
        <v>0</v>
      </c>
      <c r="CC4" s="116">
        <v>0</v>
      </c>
      <c r="CD4" s="115"/>
      <c r="CE4" s="117">
        <v>20541</v>
      </c>
      <c r="CF4" s="117">
        <v>20453</v>
      </c>
      <c r="CG4" s="116">
        <v>94.59</v>
      </c>
      <c r="CH4" s="118">
        <v>5695492.1200000001</v>
      </c>
      <c r="CI4" s="118">
        <v>3209329.3</v>
      </c>
      <c r="CJ4" s="118">
        <v>2486162.8199999998</v>
      </c>
      <c r="CK4" s="118">
        <v>162211.5</v>
      </c>
      <c r="CL4" s="118">
        <v>5857703.6200000001</v>
      </c>
      <c r="CM4" s="118">
        <v>5893953.4900000002</v>
      </c>
      <c r="CN4" s="116">
        <v>0</v>
      </c>
      <c r="CO4" s="118">
        <v>1367619.95</v>
      </c>
      <c r="CP4" s="118">
        <v>1839928.11</v>
      </c>
      <c r="CQ4" s="118">
        <v>912959.67</v>
      </c>
      <c r="CR4" s="118">
        <v>52480.81</v>
      </c>
      <c r="CS4" s="118">
        <v>855025.45</v>
      </c>
      <c r="CT4" s="116">
        <v>0</v>
      </c>
      <c r="CU4" s="118">
        <v>2904318.6</v>
      </c>
      <c r="CV4" s="118">
        <v>996449.71</v>
      </c>
      <c r="CW4" s="118">
        <v>6191731.21</v>
      </c>
      <c r="CX4" s="116">
        <v>0</v>
      </c>
      <c r="CY4" s="118">
        <v>367692.65</v>
      </c>
      <c r="CZ4" s="116">
        <v>0</v>
      </c>
      <c r="DA4" s="118">
        <v>549948.16000000003</v>
      </c>
      <c r="DB4" s="116">
        <v>0.01</v>
      </c>
      <c r="DC4" s="118">
        <v>81083.25</v>
      </c>
      <c r="DD4" s="118">
        <v>199877.65</v>
      </c>
      <c r="DE4" s="118">
        <v>42240.08</v>
      </c>
      <c r="DF4" s="116">
        <v>15</v>
      </c>
      <c r="DG4" s="116">
        <v>15</v>
      </c>
      <c r="DH4" s="118">
        <v>533904.51</v>
      </c>
      <c r="DI4" s="118">
        <v>1923270.24</v>
      </c>
      <c r="DJ4" s="118">
        <v>323200.98</v>
      </c>
      <c r="DK4" s="116">
        <v>0</v>
      </c>
      <c r="DL4" s="116">
        <v>0</v>
      </c>
      <c r="DM4" s="118">
        <v>323200.98</v>
      </c>
      <c r="DN4" s="116">
        <v>0</v>
      </c>
      <c r="DO4" s="118">
        <v>996449.71</v>
      </c>
      <c r="DP4" s="116">
        <v>0</v>
      </c>
      <c r="DQ4" s="118">
        <v>996449.71</v>
      </c>
      <c r="DR4" s="116">
        <v>0</v>
      </c>
      <c r="DS4" s="116">
        <v>0</v>
      </c>
      <c r="DT4" s="116">
        <v>0</v>
      </c>
      <c r="DU4" s="116">
        <v>0</v>
      </c>
      <c r="DV4" s="116">
        <v>0</v>
      </c>
      <c r="DW4" s="116">
        <v>0</v>
      </c>
      <c r="DX4" s="116">
        <v>0</v>
      </c>
      <c r="DY4" s="116">
        <v>0</v>
      </c>
      <c r="DZ4" s="116">
        <v>0</v>
      </c>
      <c r="EA4" s="116">
        <v>0</v>
      </c>
      <c r="EB4" s="116">
        <v>0</v>
      </c>
      <c r="EC4" s="116">
        <v>0</v>
      </c>
      <c r="ED4" s="116">
        <v>0</v>
      </c>
      <c r="EE4" s="116">
        <v>0</v>
      </c>
      <c r="EF4" s="116">
        <v>0</v>
      </c>
      <c r="EG4" s="116">
        <v>0</v>
      </c>
      <c r="EH4" s="116">
        <v>0</v>
      </c>
      <c r="EI4" s="116">
        <v>0</v>
      </c>
      <c r="EJ4" s="115"/>
      <c r="EK4" s="116">
        <v>3</v>
      </c>
      <c r="EL4" s="116">
        <v>60</v>
      </c>
      <c r="EM4" s="117">
        <v>2886</v>
      </c>
      <c r="EN4" s="117">
        <v>2320</v>
      </c>
      <c r="EO4" s="116">
        <v>0</v>
      </c>
      <c r="EP4" s="117">
        <v>2302</v>
      </c>
      <c r="EQ4" s="116">
        <v>0</v>
      </c>
      <c r="ER4" s="116">
        <v>8</v>
      </c>
      <c r="ES4" s="116">
        <v>25</v>
      </c>
      <c r="ET4" s="116">
        <v>0</v>
      </c>
      <c r="EU4" s="117">
        <v>1062</v>
      </c>
      <c r="EV4" s="117">
        <v>1062</v>
      </c>
      <c r="EW4" s="116">
        <v>0</v>
      </c>
      <c r="EX4" s="116">
        <v>0</v>
      </c>
      <c r="EY4" s="117">
        <v>11317</v>
      </c>
      <c r="EZ4" s="117">
        <v>11032</v>
      </c>
      <c r="FA4" s="118">
        <v>14446.02</v>
      </c>
      <c r="FB4" s="117">
        <v>1062</v>
      </c>
      <c r="FC4" s="116">
        <v>0</v>
      </c>
      <c r="FD4" s="117">
        <v>1062</v>
      </c>
      <c r="FE4" s="116">
        <v>1.06</v>
      </c>
      <c r="FF4" s="116">
        <v>908.63</v>
      </c>
      <c r="FG4" s="116">
        <v>2.39</v>
      </c>
      <c r="FH4" s="116">
        <v>2.2000000000000002</v>
      </c>
      <c r="FI4" s="116">
        <v>2.23</v>
      </c>
      <c r="FJ4" s="116">
        <v>2.16</v>
      </c>
      <c r="FK4" s="116">
        <v>14.74</v>
      </c>
      <c r="FL4" s="118">
        <v>60863.98</v>
      </c>
      <c r="FM4" s="116">
        <v>99.76</v>
      </c>
      <c r="FN4" s="116">
        <v>60.56</v>
      </c>
      <c r="FO4" s="116">
        <v>100</v>
      </c>
      <c r="FP4" s="116">
        <v>91.99</v>
      </c>
      <c r="FQ4" s="116">
        <v>25.91</v>
      </c>
      <c r="FR4" s="116">
        <v>14.46</v>
      </c>
      <c r="FS4" s="116">
        <v>84.9</v>
      </c>
      <c r="FT4" s="116">
        <v>100</v>
      </c>
      <c r="FU4" s="116">
        <v>17.53</v>
      </c>
      <c r="FV4" s="116">
        <v>15</v>
      </c>
      <c r="FW4" s="116">
        <v>908.63</v>
      </c>
      <c r="FX4" s="116">
        <v>9.84</v>
      </c>
      <c r="FY4" s="116">
        <v>10.11</v>
      </c>
      <c r="FZ4" s="116">
        <v>152.41</v>
      </c>
      <c r="GA4" s="116">
        <v>100</v>
      </c>
      <c r="GB4" s="116">
        <v>100</v>
      </c>
      <c r="GC4" s="116">
        <v>23.66</v>
      </c>
      <c r="GD4" s="116">
        <v>1.1200000000000001</v>
      </c>
      <c r="GE4" s="116">
        <v>213.09</v>
      </c>
      <c r="GF4" s="116">
        <v>74.09</v>
      </c>
      <c r="GG4" s="116">
        <v>-0.62</v>
      </c>
      <c r="GH4" s="116">
        <v>50.99</v>
      </c>
      <c r="GI4" s="116">
        <v>16.03</v>
      </c>
      <c r="GJ4" s="116">
        <v>16.03</v>
      </c>
      <c r="GK4" s="116">
        <v>17.5</v>
      </c>
      <c r="GL4" s="116">
        <v>9.3699999999999992</v>
      </c>
      <c r="GM4" s="116">
        <v>31.43</v>
      </c>
      <c r="GN4" s="116">
        <v>31.43</v>
      </c>
      <c r="GO4" s="116">
        <v>29.44</v>
      </c>
      <c r="GP4" s="116">
        <v>1.81</v>
      </c>
      <c r="GQ4" s="116">
        <v>18.38</v>
      </c>
      <c r="GR4" s="116">
        <v>54.79</v>
      </c>
      <c r="GS4" s="116">
        <v>42.44</v>
      </c>
      <c r="GT4" s="116">
        <v>2.77</v>
      </c>
      <c r="GU4" s="116">
        <v>92.75</v>
      </c>
      <c r="GV4" s="116">
        <v>99.79</v>
      </c>
      <c r="GW4" s="116">
        <v>2.34</v>
      </c>
      <c r="GX4" s="116">
        <v>84.9</v>
      </c>
      <c r="GY4" s="116">
        <v>100</v>
      </c>
      <c r="GZ4" s="116">
        <v>1.17</v>
      </c>
      <c r="HA4" s="116">
        <v>39.31</v>
      </c>
      <c r="HB4" s="116">
        <v>27.32</v>
      </c>
      <c r="HC4" s="116">
        <v>325.7</v>
      </c>
      <c r="HD4" s="116">
        <v>60.69</v>
      </c>
      <c r="HE4" s="116">
        <v>14.36</v>
      </c>
      <c r="HF4" s="116">
        <v>84.05</v>
      </c>
      <c r="HG4" s="116">
        <v>100</v>
      </c>
      <c r="HH4" s="116">
        <v>100</v>
      </c>
      <c r="HI4" s="116">
        <v>100</v>
      </c>
      <c r="HJ4" s="116">
        <v>0.84</v>
      </c>
      <c r="HK4" s="116">
        <v>0.09</v>
      </c>
      <c r="HL4" s="116">
        <v>0.5</v>
      </c>
      <c r="HM4" s="116">
        <v>962</v>
      </c>
      <c r="HN4" s="116">
        <v>20</v>
      </c>
      <c r="HO4" s="115"/>
      <c r="HP4" s="115"/>
      <c r="HQ4" s="116">
        <v>0</v>
      </c>
      <c r="HR4" s="116">
        <v>0</v>
      </c>
      <c r="HS4" s="116">
        <v>3.12</v>
      </c>
      <c r="HT4" s="116">
        <v>218.46</v>
      </c>
      <c r="HU4" s="116">
        <v>216.76</v>
      </c>
      <c r="HV4" s="116">
        <v>0.09</v>
      </c>
      <c r="HW4" s="116">
        <v>1.31</v>
      </c>
      <c r="HX4" s="116">
        <v>0</v>
      </c>
      <c r="HY4" s="116">
        <v>100</v>
      </c>
      <c r="HZ4" s="116">
        <v>151.1</v>
      </c>
      <c r="IA4" s="116">
        <v>852.73</v>
      </c>
      <c r="IB4" s="115"/>
    </row>
    <row r="5" spans="1:237" ht="16" x14ac:dyDescent="0.2">
      <c r="A5" s="114">
        <v>351770</v>
      </c>
      <c r="B5" s="116" t="s">
        <v>379</v>
      </c>
      <c r="C5" s="116" t="s">
        <v>235</v>
      </c>
      <c r="D5" s="116">
        <v>2018</v>
      </c>
      <c r="E5" s="116">
        <v>35177011</v>
      </c>
      <c r="F5" s="116" t="s">
        <v>380</v>
      </c>
      <c r="G5" s="116" t="s">
        <v>381</v>
      </c>
      <c r="H5" s="116" t="s">
        <v>236</v>
      </c>
      <c r="I5" s="116" t="s">
        <v>237</v>
      </c>
      <c r="J5" s="116" t="s">
        <v>382</v>
      </c>
      <c r="K5" s="116">
        <v>1</v>
      </c>
      <c r="L5" s="116">
        <v>0</v>
      </c>
      <c r="M5" s="116">
        <v>0</v>
      </c>
      <c r="N5" s="116">
        <v>1</v>
      </c>
      <c r="O5" s="116">
        <v>1</v>
      </c>
      <c r="P5" s="116">
        <v>1</v>
      </c>
      <c r="Q5" s="116">
        <v>1</v>
      </c>
      <c r="R5" s="116">
        <v>1</v>
      </c>
      <c r="S5" s="116">
        <v>0</v>
      </c>
      <c r="T5" s="116">
        <v>0</v>
      </c>
      <c r="U5" s="115"/>
      <c r="V5" s="115"/>
      <c r="W5" s="116" t="s">
        <v>239</v>
      </c>
      <c r="X5" s="116" t="s">
        <v>239</v>
      </c>
      <c r="Y5" s="115"/>
      <c r="Z5" s="117">
        <v>21129</v>
      </c>
      <c r="AA5" s="117">
        <v>20453</v>
      </c>
      <c r="AB5" s="117">
        <v>21129</v>
      </c>
      <c r="AC5" s="117">
        <v>21081</v>
      </c>
      <c r="AD5" s="117">
        <v>6391</v>
      </c>
      <c r="AE5" s="117">
        <v>7425</v>
      </c>
      <c r="AF5" s="117">
        <v>6809</v>
      </c>
      <c r="AG5" s="117">
        <v>7425</v>
      </c>
      <c r="AH5" s="117">
        <v>6375</v>
      </c>
      <c r="AI5" s="117">
        <v>6557</v>
      </c>
      <c r="AJ5" s="116">
        <v>68</v>
      </c>
      <c r="AK5" s="116">
        <v>67</v>
      </c>
      <c r="AL5" s="118">
        <v>1880.2</v>
      </c>
      <c r="AM5" s="116">
        <v>0</v>
      </c>
      <c r="AN5" s="118">
        <v>1146.3599999999999</v>
      </c>
      <c r="AO5" s="118">
        <v>1186.3599999999999</v>
      </c>
      <c r="AP5" s="118">
        <v>1402.12</v>
      </c>
      <c r="AQ5" s="118">
        <v>1880.2</v>
      </c>
      <c r="AR5" s="117">
        <v>6307</v>
      </c>
      <c r="AS5" s="117">
        <v>6557</v>
      </c>
      <c r="AT5" s="117">
        <v>6709</v>
      </c>
      <c r="AU5" s="117">
        <v>6784</v>
      </c>
      <c r="AV5" s="118">
        <v>1880.2</v>
      </c>
      <c r="AW5" s="116">
        <v>0</v>
      </c>
      <c r="AX5" s="116">
        <v>0</v>
      </c>
      <c r="AY5" s="116">
        <v>0</v>
      </c>
      <c r="AZ5" s="118">
        <v>1064.92</v>
      </c>
      <c r="BA5" s="117">
        <v>7666</v>
      </c>
      <c r="BB5" s="117">
        <v>8431</v>
      </c>
      <c r="BC5" s="117">
        <v>6305</v>
      </c>
      <c r="BD5" s="117">
        <v>6557</v>
      </c>
      <c r="BE5" s="116">
        <v>0</v>
      </c>
      <c r="BF5" s="115"/>
      <c r="BG5" s="117">
        <v>20453</v>
      </c>
      <c r="BH5" s="117">
        <v>20407</v>
      </c>
      <c r="BI5" s="118">
        <v>1880.2</v>
      </c>
      <c r="BJ5" s="118">
        <v>1603.79</v>
      </c>
      <c r="BK5" s="117">
        <v>21129</v>
      </c>
      <c r="BL5" s="117">
        <v>21081</v>
      </c>
      <c r="BM5" s="117">
        <v>6334</v>
      </c>
      <c r="BN5" s="117">
        <v>6755</v>
      </c>
      <c r="BO5" s="117">
        <v>6759</v>
      </c>
      <c r="BP5" s="117">
        <v>6755</v>
      </c>
      <c r="BQ5" s="116">
        <v>70</v>
      </c>
      <c r="BR5" s="116">
        <v>69</v>
      </c>
      <c r="BS5" s="118">
        <v>1186</v>
      </c>
      <c r="BT5" s="118">
        <v>1186</v>
      </c>
      <c r="BU5" s="118">
        <v>1121.69</v>
      </c>
      <c r="BV5" s="117">
        <v>6276</v>
      </c>
      <c r="BW5" s="117">
        <v>6366</v>
      </c>
      <c r="BX5" s="117">
        <v>7666</v>
      </c>
      <c r="BY5" s="117">
        <v>7425</v>
      </c>
      <c r="BZ5" s="116">
        <v>0</v>
      </c>
      <c r="CA5" s="116">
        <v>0</v>
      </c>
      <c r="CB5" s="116">
        <v>0</v>
      </c>
      <c r="CC5" s="116">
        <v>0</v>
      </c>
      <c r="CD5" s="115"/>
      <c r="CE5" s="117">
        <v>20453</v>
      </c>
      <c r="CF5" s="117">
        <v>20407</v>
      </c>
      <c r="CG5" s="116">
        <v>97.34</v>
      </c>
      <c r="CH5" s="118">
        <v>5519238.5499999998</v>
      </c>
      <c r="CI5" s="118">
        <v>3085199.11</v>
      </c>
      <c r="CJ5" s="118">
        <v>2434039.44</v>
      </c>
      <c r="CK5" s="116">
        <v>0</v>
      </c>
      <c r="CL5" s="118">
        <v>5519238.5499999998</v>
      </c>
      <c r="CM5" s="118">
        <v>5844864.5300000003</v>
      </c>
      <c r="CN5" s="116">
        <v>0</v>
      </c>
      <c r="CO5" s="118">
        <v>1839928.11</v>
      </c>
      <c r="CP5" s="118">
        <v>1758788.74</v>
      </c>
      <c r="CQ5" s="118">
        <v>1022559.07</v>
      </c>
      <c r="CR5" s="118">
        <v>121369.15</v>
      </c>
      <c r="CS5" s="118">
        <v>772202.07</v>
      </c>
      <c r="CT5" s="116">
        <v>0</v>
      </c>
      <c r="CU5" s="118">
        <v>3443421.23</v>
      </c>
      <c r="CV5" s="118">
        <v>1798302.58</v>
      </c>
      <c r="CW5" s="118">
        <v>5682475.8099999996</v>
      </c>
      <c r="CX5" s="116">
        <v>0</v>
      </c>
      <c r="CY5" s="118">
        <v>301005.88</v>
      </c>
      <c r="CZ5" s="116">
        <v>0</v>
      </c>
      <c r="DA5" s="118">
        <v>531543.87</v>
      </c>
      <c r="DB5" s="118">
        <v>139746.12</v>
      </c>
      <c r="DC5" s="118">
        <v>73688.149999999994</v>
      </c>
      <c r="DD5" s="118">
        <v>67547.63</v>
      </c>
      <c r="DE5" s="118">
        <v>45093.94</v>
      </c>
      <c r="DF5" s="116">
        <v>15</v>
      </c>
      <c r="DG5" s="116">
        <v>15</v>
      </c>
      <c r="DH5" s="118">
        <v>995747.07</v>
      </c>
      <c r="DI5" s="116">
        <v>0</v>
      </c>
      <c r="DJ5" s="118">
        <v>186329.72</v>
      </c>
      <c r="DK5" s="116">
        <v>0</v>
      </c>
      <c r="DL5" s="116">
        <v>0</v>
      </c>
      <c r="DM5" s="118">
        <v>186329.72</v>
      </c>
      <c r="DN5" s="116">
        <v>0</v>
      </c>
      <c r="DO5" s="118">
        <v>376318.82</v>
      </c>
      <c r="DP5" s="118">
        <v>1421983.76</v>
      </c>
      <c r="DQ5" s="118">
        <v>1798302.58</v>
      </c>
      <c r="DR5" s="116">
        <v>0</v>
      </c>
      <c r="DS5" s="116">
        <v>0</v>
      </c>
      <c r="DT5" s="116">
        <v>0</v>
      </c>
      <c r="DU5" s="116">
        <v>0</v>
      </c>
      <c r="DV5" s="116">
        <v>0</v>
      </c>
      <c r="DW5" s="116">
        <v>0</v>
      </c>
      <c r="DX5" s="116">
        <v>0</v>
      </c>
      <c r="DY5" s="116">
        <v>0</v>
      </c>
      <c r="DZ5" s="116">
        <v>0</v>
      </c>
      <c r="EA5" s="116">
        <v>0</v>
      </c>
      <c r="EB5" s="116">
        <v>0</v>
      </c>
      <c r="EC5" s="116">
        <v>0</v>
      </c>
      <c r="ED5" s="116">
        <v>0</v>
      </c>
      <c r="EE5" s="116">
        <v>0</v>
      </c>
      <c r="EF5" s="116">
        <v>0</v>
      </c>
      <c r="EG5" s="116">
        <v>0</v>
      </c>
      <c r="EH5" s="116">
        <v>0</v>
      </c>
      <c r="EI5" s="116">
        <v>0</v>
      </c>
      <c r="EJ5" s="115"/>
      <c r="EK5" s="116">
        <v>1</v>
      </c>
      <c r="EL5" s="116">
        <v>12</v>
      </c>
      <c r="EM5" s="116">
        <v>80</v>
      </c>
      <c r="EN5" s="117">
        <v>1662</v>
      </c>
      <c r="EO5" s="116">
        <v>0</v>
      </c>
      <c r="EP5" s="117">
        <v>1662</v>
      </c>
      <c r="EQ5" s="116">
        <v>0</v>
      </c>
      <c r="ER5" s="116">
        <v>1</v>
      </c>
      <c r="ES5" s="116">
        <v>2</v>
      </c>
      <c r="ET5" s="115"/>
      <c r="EU5" s="116">
        <v>864</v>
      </c>
      <c r="EV5" s="116">
        <v>864</v>
      </c>
      <c r="EW5" s="116">
        <v>0</v>
      </c>
      <c r="EX5" s="116">
        <v>0</v>
      </c>
      <c r="EY5" s="117">
        <v>16011</v>
      </c>
      <c r="EZ5" s="117">
        <v>10618</v>
      </c>
      <c r="FA5" s="118">
        <v>15995</v>
      </c>
      <c r="FB5" s="116">
        <v>864</v>
      </c>
      <c r="FC5" s="116">
        <v>0</v>
      </c>
      <c r="FD5" s="116">
        <v>864</v>
      </c>
      <c r="FE5" s="116">
        <v>1.03</v>
      </c>
      <c r="FF5" s="116">
        <v>924.93</v>
      </c>
      <c r="FG5" s="116">
        <v>2.25</v>
      </c>
      <c r="FH5" s="116">
        <v>2.19</v>
      </c>
      <c r="FI5" s="116">
        <v>2.2000000000000002</v>
      </c>
      <c r="FJ5" s="116">
        <v>2.17</v>
      </c>
      <c r="FK5" s="116">
        <v>17.989999999999998</v>
      </c>
      <c r="FL5" s="118">
        <v>68170.600000000006</v>
      </c>
      <c r="FM5" s="116">
        <v>93.6</v>
      </c>
      <c r="FN5" s="116">
        <v>60.97</v>
      </c>
      <c r="FO5" s="116">
        <v>100</v>
      </c>
      <c r="FP5" s="116">
        <v>97.13</v>
      </c>
      <c r="FQ5" s="116">
        <v>25.43</v>
      </c>
      <c r="FR5" s="116">
        <v>14.16</v>
      </c>
      <c r="FS5" s="116">
        <v>99.97</v>
      </c>
      <c r="FT5" s="116">
        <v>100</v>
      </c>
      <c r="FU5" s="116">
        <v>16.420000000000002</v>
      </c>
      <c r="FV5" s="116">
        <v>15</v>
      </c>
      <c r="FW5" s="116">
        <v>924.93</v>
      </c>
      <c r="FX5" s="116">
        <v>8.39</v>
      </c>
      <c r="FY5" s="116">
        <v>9.2100000000000009</v>
      </c>
      <c r="FZ5" s="116">
        <v>154.01</v>
      </c>
      <c r="GA5" s="116">
        <v>100</v>
      </c>
      <c r="GB5" s="116">
        <v>100</v>
      </c>
      <c r="GC5" s="116">
        <v>22.02</v>
      </c>
      <c r="GD5" s="116">
        <v>1.36</v>
      </c>
      <c r="GE5" s="116">
        <v>248.19</v>
      </c>
      <c r="GF5" s="116">
        <v>74.569999999999993</v>
      </c>
      <c r="GG5" s="116">
        <v>-5.9</v>
      </c>
      <c r="GH5" s="116">
        <v>62.39</v>
      </c>
      <c r="GI5" s="116">
        <v>18.53</v>
      </c>
      <c r="GJ5" s="116">
        <v>18.53</v>
      </c>
      <c r="GK5" s="116">
        <v>32.58</v>
      </c>
      <c r="GL5" s="116">
        <v>18.04</v>
      </c>
      <c r="GM5" s="116">
        <v>29.7</v>
      </c>
      <c r="GN5" s="116">
        <v>29.7</v>
      </c>
      <c r="GO5" s="116">
        <v>22.43</v>
      </c>
      <c r="GP5" s="116">
        <v>3.52</v>
      </c>
      <c r="GQ5" s="116">
        <v>28.92</v>
      </c>
      <c r="GR5" s="116">
        <v>55.9</v>
      </c>
      <c r="GS5" s="116">
        <v>44.1</v>
      </c>
      <c r="GT5" s="116">
        <v>0</v>
      </c>
      <c r="GU5" s="116">
        <v>90.38</v>
      </c>
      <c r="GV5" s="116">
        <v>96.63</v>
      </c>
      <c r="GW5" s="116">
        <v>2.17</v>
      </c>
      <c r="GX5" s="116">
        <v>99.97</v>
      </c>
      <c r="GY5" s="116">
        <v>100</v>
      </c>
      <c r="GZ5" s="116">
        <v>1.1200000000000001</v>
      </c>
      <c r="HA5" s="116">
        <v>36.9</v>
      </c>
      <c r="HB5" s="116">
        <v>28.16</v>
      </c>
      <c r="HC5" s="116">
        <v>275.18</v>
      </c>
      <c r="HD5" s="116">
        <v>63.1</v>
      </c>
      <c r="HE5" s="116">
        <v>13.89</v>
      </c>
      <c r="HF5" s="116">
        <v>120.01</v>
      </c>
      <c r="HG5" s="116">
        <v>100</v>
      </c>
      <c r="HH5" s="116">
        <v>100</v>
      </c>
      <c r="HI5" s="116">
        <v>100</v>
      </c>
      <c r="HJ5" s="116">
        <v>0.85</v>
      </c>
      <c r="HK5" s="116">
        <v>0.08</v>
      </c>
      <c r="HL5" s="116">
        <v>0.45</v>
      </c>
      <c r="HM5" s="116">
        <v>80</v>
      </c>
      <c r="HN5" s="116">
        <v>12</v>
      </c>
      <c r="HO5" s="115"/>
      <c r="HP5" s="115"/>
      <c r="HQ5" s="116">
        <v>0</v>
      </c>
      <c r="HR5" s="116">
        <v>0</v>
      </c>
      <c r="HS5" s="116">
        <v>2</v>
      </c>
      <c r="HT5" s="116">
        <v>192.36</v>
      </c>
      <c r="HU5" s="116">
        <v>192.36</v>
      </c>
      <c r="HV5" s="116">
        <v>0.01</v>
      </c>
      <c r="HW5" s="116">
        <v>1.51</v>
      </c>
      <c r="HX5" s="116">
        <v>0</v>
      </c>
      <c r="HY5" s="116">
        <v>100</v>
      </c>
      <c r="HZ5" s="116">
        <v>108.61</v>
      </c>
      <c r="IA5" s="116">
        <v>896.83</v>
      </c>
      <c r="IB5" s="115"/>
    </row>
    <row r="6" spans="1:237" ht="16" x14ac:dyDescent="0.2">
      <c r="A6" s="114">
        <v>351770</v>
      </c>
      <c r="B6" s="116" t="s">
        <v>379</v>
      </c>
      <c r="C6" s="116" t="s">
        <v>235</v>
      </c>
      <c r="D6" s="116">
        <v>2017</v>
      </c>
      <c r="E6" s="116">
        <v>35177011</v>
      </c>
      <c r="F6" s="116" t="s">
        <v>380</v>
      </c>
      <c r="G6" s="116" t="s">
        <v>381</v>
      </c>
      <c r="H6" s="116" t="s">
        <v>236</v>
      </c>
      <c r="I6" s="116" t="s">
        <v>237</v>
      </c>
      <c r="J6" s="116" t="s">
        <v>382</v>
      </c>
      <c r="K6" s="116">
        <v>1</v>
      </c>
      <c r="L6" s="116">
        <v>0</v>
      </c>
      <c r="M6" s="116">
        <v>0</v>
      </c>
      <c r="N6" s="116">
        <v>1</v>
      </c>
      <c r="O6" s="116">
        <v>1</v>
      </c>
      <c r="P6" s="116">
        <v>1</v>
      </c>
      <c r="Q6" s="116">
        <v>1</v>
      </c>
      <c r="R6" s="116">
        <v>1</v>
      </c>
      <c r="S6" s="116">
        <v>0</v>
      </c>
      <c r="T6" s="116">
        <v>0</v>
      </c>
      <c r="U6" s="115"/>
      <c r="V6" s="115"/>
      <c r="W6" s="116" t="s">
        <v>239</v>
      </c>
      <c r="X6" s="116" t="s">
        <v>239</v>
      </c>
      <c r="Y6" s="115"/>
      <c r="Z6" s="117">
        <v>21081</v>
      </c>
      <c r="AA6" s="117">
        <v>20407</v>
      </c>
      <c r="AB6" s="117">
        <v>21081</v>
      </c>
      <c r="AC6" s="117">
        <v>20326</v>
      </c>
      <c r="AD6" s="117">
        <v>7425</v>
      </c>
      <c r="AE6" s="117">
        <v>6252</v>
      </c>
      <c r="AF6" s="117">
        <v>7425</v>
      </c>
      <c r="AG6" s="117">
        <v>6618</v>
      </c>
      <c r="AH6" s="117">
        <v>6557</v>
      </c>
      <c r="AI6" s="117">
        <v>6224</v>
      </c>
      <c r="AJ6" s="116">
        <v>67</v>
      </c>
      <c r="AK6" s="116">
        <v>65</v>
      </c>
      <c r="AL6" s="118">
        <v>1960.43</v>
      </c>
      <c r="AM6" s="116">
        <v>0</v>
      </c>
      <c r="AN6" s="118">
        <v>1135.01</v>
      </c>
      <c r="AO6" s="118">
        <v>1176.25</v>
      </c>
      <c r="AP6" s="118">
        <v>1135.01</v>
      </c>
      <c r="AQ6" s="118">
        <v>1960.42</v>
      </c>
      <c r="AR6" s="117">
        <v>6557</v>
      </c>
      <c r="AS6" s="117">
        <v>6126</v>
      </c>
      <c r="AT6" s="117">
        <v>6784</v>
      </c>
      <c r="AU6" s="117">
        <v>6618</v>
      </c>
      <c r="AV6" s="118">
        <v>1960.42</v>
      </c>
      <c r="AW6" s="116">
        <v>0</v>
      </c>
      <c r="AX6" s="116">
        <v>0</v>
      </c>
      <c r="AY6" s="116">
        <v>0</v>
      </c>
      <c r="AZ6" s="118">
        <v>1135.01</v>
      </c>
      <c r="BA6" s="117">
        <v>8431</v>
      </c>
      <c r="BB6" s="117">
        <v>7433</v>
      </c>
      <c r="BC6" s="117">
        <v>6557</v>
      </c>
      <c r="BD6" s="117">
        <v>6126</v>
      </c>
      <c r="BE6" s="116">
        <v>0</v>
      </c>
      <c r="BF6" s="115"/>
      <c r="BG6" s="117">
        <v>20407</v>
      </c>
      <c r="BH6" s="117">
        <v>20326</v>
      </c>
      <c r="BI6" s="118">
        <v>1960.42</v>
      </c>
      <c r="BJ6" s="118">
        <v>4702.09</v>
      </c>
      <c r="BK6" s="117">
        <v>21081</v>
      </c>
      <c r="BL6" s="117">
        <v>20326</v>
      </c>
      <c r="BM6" s="117">
        <v>6755</v>
      </c>
      <c r="BN6" s="117">
        <v>6763</v>
      </c>
      <c r="BO6" s="117">
        <v>6755</v>
      </c>
      <c r="BP6" s="117">
        <v>6763</v>
      </c>
      <c r="BQ6" s="116">
        <v>69</v>
      </c>
      <c r="BR6" s="116">
        <v>67</v>
      </c>
      <c r="BS6" s="118">
        <v>1260</v>
      </c>
      <c r="BT6" s="118">
        <v>1260</v>
      </c>
      <c r="BU6" s="118">
        <v>1317.63</v>
      </c>
      <c r="BV6" s="117">
        <v>6366</v>
      </c>
      <c r="BW6" s="117">
        <v>6265</v>
      </c>
      <c r="BX6" s="117">
        <v>7425</v>
      </c>
      <c r="BY6" s="117">
        <v>7433</v>
      </c>
      <c r="BZ6" s="116">
        <v>0</v>
      </c>
      <c r="CA6" s="116">
        <v>0</v>
      </c>
      <c r="CB6" s="116">
        <v>0</v>
      </c>
      <c r="CC6" s="116">
        <v>0</v>
      </c>
      <c r="CD6" s="115"/>
      <c r="CE6" s="117">
        <v>20407</v>
      </c>
      <c r="CF6" s="117">
        <v>20326</v>
      </c>
      <c r="CG6" s="116">
        <v>100.34</v>
      </c>
      <c r="CH6" s="118">
        <v>5843768.2000000002</v>
      </c>
      <c r="CI6" s="118">
        <v>3278765.63</v>
      </c>
      <c r="CJ6" s="118">
        <v>2565002.5699999998</v>
      </c>
      <c r="CK6" s="116">
        <v>0</v>
      </c>
      <c r="CL6" s="118">
        <v>5843768.2000000002</v>
      </c>
      <c r="CM6" s="118">
        <v>5614154.5499999998</v>
      </c>
      <c r="CN6" s="116">
        <v>0</v>
      </c>
      <c r="CO6" s="118">
        <v>1758788.74</v>
      </c>
      <c r="CP6" s="118">
        <v>2304472.4300000002</v>
      </c>
      <c r="CQ6" s="118">
        <v>860156.15</v>
      </c>
      <c r="CR6" s="118">
        <v>126386</v>
      </c>
      <c r="CS6" s="118">
        <v>927752.3</v>
      </c>
      <c r="CT6" s="118">
        <v>7800</v>
      </c>
      <c r="CU6" s="118">
        <v>2497936.1</v>
      </c>
      <c r="CV6" s="118">
        <v>297700.15000000002</v>
      </c>
      <c r="CW6" s="118">
        <v>3806671.94</v>
      </c>
      <c r="CX6" s="116">
        <v>0</v>
      </c>
      <c r="CY6" s="118">
        <v>171471</v>
      </c>
      <c r="CZ6" s="116">
        <v>0</v>
      </c>
      <c r="DA6" s="118">
        <v>575841.65</v>
      </c>
      <c r="DB6" s="116">
        <v>0</v>
      </c>
      <c r="DC6" s="118">
        <v>21890.05</v>
      </c>
      <c r="DD6" s="118">
        <v>14975.37</v>
      </c>
      <c r="DE6" s="118">
        <v>89605.11</v>
      </c>
      <c r="DF6" s="116">
        <v>15</v>
      </c>
      <c r="DG6" s="116">
        <v>15</v>
      </c>
      <c r="DH6" s="116">
        <v>0</v>
      </c>
      <c r="DI6" s="118">
        <v>839564.69</v>
      </c>
      <c r="DJ6" s="118">
        <v>126470.53</v>
      </c>
      <c r="DK6" s="116">
        <v>0</v>
      </c>
      <c r="DL6" s="116">
        <v>0</v>
      </c>
      <c r="DM6" s="118">
        <v>126470.53</v>
      </c>
      <c r="DN6" s="116">
        <v>0</v>
      </c>
      <c r="DO6" s="118">
        <v>114300.15</v>
      </c>
      <c r="DP6" s="118">
        <v>183400</v>
      </c>
      <c r="DQ6" s="118">
        <v>297700.15000000002</v>
      </c>
      <c r="DR6" s="116">
        <v>0</v>
      </c>
      <c r="DS6" s="116">
        <v>0</v>
      </c>
      <c r="DT6" s="116">
        <v>0</v>
      </c>
      <c r="DU6" s="116">
        <v>0</v>
      </c>
      <c r="DV6" s="116">
        <v>0</v>
      </c>
      <c r="DW6" s="116">
        <v>0</v>
      </c>
      <c r="DX6" s="116">
        <v>0</v>
      </c>
      <c r="DY6" s="116">
        <v>0</v>
      </c>
      <c r="DZ6" s="116">
        <v>0</v>
      </c>
      <c r="EA6" s="116">
        <v>0</v>
      </c>
      <c r="EB6" s="116">
        <v>0</v>
      </c>
      <c r="EC6" s="116">
        <v>0</v>
      </c>
      <c r="ED6" s="116">
        <v>0</v>
      </c>
      <c r="EE6" s="116">
        <v>0</v>
      </c>
      <c r="EF6" s="116">
        <v>0</v>
      </c>
      <c r="EG6" s="116">
        <v>0</v>
      </c>
      <c r="EH6" s="116">
        <v>0</v>
      </c>
      <c r="EI6" s="116">
        <v>0</v>
      </c>
      <c r="EJ6" s="115"/>
      <c r="EK6" s="116">
        <v>1</v>
      </c>
      <c r="EL6" s="116">
        <v>12</v>
      </c>
      <c r="EM6" s="116">
        <v>76</v>
      </c>
      <c r="EN6" s="117">
        <v>1752</v>
      </c>
      <c r="EO6" s="116">
        <v>0</v>
      </c>
      <c r="EP6" s="117">
        <v>1752</v>
      </c>
      <c r="EQ6" s="116">
        <v>0</v>
      </c>
      <c r="ER6" s="116">
        <v>1</v>
      </c>
      <c r="ES6" s="116">
        <v>2</v>
      </c>
      <c r="ET6" s="115"/>
      <c r="EU6" s="116">
        <v>860</v>
      </c>
      <c r="EV6" s="116">
        <v>860</v>
      </c>
      <c r="EW6" s="116">
        <v>0</v>
      </c>
      <c r="EX6" s="116">
        <v>0</v>
      </c>
      <c r="EY6" s="117">
        <v>15474</v>
      </c>
      <c r="EZ6" s="117">
        <v>15474</v>
      </c>
      <c r="FA6" s="118">
        <v>15143.21</v>
      </c>
      <c r="FB6" s="116">
        <v>860</v>
      </c>
      <c r="FC6" s="116">
        <v>0</v>
      </c>
      <c r="FD6" s="116">
        <v>860</v>
      </c>
      <c r="FE6" s="116">
        <v>1.03</v>
      </c>
      <c r="FF6" s="116">
        <v>918.7</v>
      </c>
      <c r="FG6" s="116">
        <v>1.55</v>
      </c>
      <c r="FH6" s="116">
        <v>2.38</v>
      </c>
      <c r="FI6" s="116">
        <v>2.89</v>
      </c>
      <c r="FJ6" s="116">
        <v>1.95</v>
      </c>
      <c r="FK6" s="116">
        <v>22.8</v>
      </c>
      <c r="FL6" s="118">
        <v>57343.74</v>
      </c>
      <c r="FM6" s="116">
        <v>93.45</v>
      </c>
      <c r="FN6" s="116">
        <v>57.9</v>
      </c>
      <c r="FO6" s="116">
        <v>100</v>
      </c>
      <c r="FP6" s="116">
        <v>153.51</v>
      </c>
      <c r="FQ6" s="116">
        <v>42.1</v>
      </c>
      <c r="FR6" s="116">
        <v>14.11</v>
      </c>
      <c r="FS6" s="116">
        <v>100</v>
      </c>
      <c r="FT6" s="116">
        <v>100</v>
      </c>
      <c r="FU6" s="116">
        <v>13.47</v>
      </c>
      <c r="FV6" s="116">
        <v>15.14</v>
      </c>
      <c r="FW6" s="116">
        <v>910.44</v>
      </c>
      <c r="FX6" s="116">
        <v>8.32</v>
      </c>
      <c r="FY6" s="116">
        <v>9.15</v>
      </c>
      <c r="FZ6" s="116">
        <v>155.65</v>
      </c>
      <c r="GA6" s="116">
        <v>100</v>
      </c>
      <c r="GB6" s="116">
        <v>100</v>
      </c>
      <c r="GC6" s="116">
        <v>23.27</v>
      </c>
      <c r="GD6" s="116">
        <v>1.02</v>
      </c>
      <c r="GE6" s="116">
        <v>181.27</v>
      </c>
      <c r="GF6" s="116">
        <v>57.9</v>
      </c>
      <c r="GG6" s="116">
        <v>3.93</v>
      </c>
      <c r="GH6" s="116">
        <v>42.75</v>
      </c>
      <c r="GI6" s="116">
        <v>14.72</v>
      </c>
      <c r="GJ6" s="116">
        <v>14.85</v>
      </c>
      <c r="GK6" s="116">
        <v>5.09</v>
      </c>
      <c r="GL6" s="116">
        <v>0</v>
      </c>
      <c r="GM6" s="116">
        <v>34.43</v>
      </c>
      <c r="GN6" s="116">
        <v>34.75</v>
      </c>
      <c r="GO6" s="116">
        <v>37.14</v>
      </c>
      <c r="GP6" s="116">
        <v>5.0599999999999996</v>
      </c>
      <c r="GQ6" s="116">
        <v>0</v>
      </c>
      <c r="GR6" s="116">
        <v>56.11</v>
      </c>
      <c r="GS6" s="116">
        <v>43.89</v>
      </c>
      <c r="GT6" s="116">
        <v>0</v>
      </c>
      <c r="GU6" s="116">
        <v>90.32</v>
      </c>
      <c r="GV6" s="116">
        <v>96.49</v>
      </c>
      <c r="GW6" s="116">
        <v>2.19</v>
      </c>
      <c r="GX6" s="116">
        <v>100</v>
      </c>
      <c r="GY6" s="116">
        <v>100</v>
      </c>
      <c r="GZ6" s="116">
        <v>1.1000000000000001</v>
      </c>
      <c r="HA6" s="116">
        <v>40</v>
      </c>
      <c r="HB6" s="116">
        <v>32.549999999999997</v>
      </c>
      <c r="HC6" s="116">
        <v>314.17</v>
      </c>
      <c r="HD6" s="116">
        <v>60</v>
      </c>
      <c r="HE6" s="116">
        <v>13.96</v>
      </c>
      <c r="HF6" s="116">
        <v>108.35</v>
      </c>
      <c r="HG6" s="116">
        <v>100</v>
      </c>
      <c r="HH6" s="116">
        <v>100</v>
      </c>
      <c r="HI6" s="116">
        <v>100</v>
      </c>
      <c r="HJ6" s="116">
        <v>2.4</v>
      </c>
      <c r="HK6" s="116">
        <v>0.08</v>
      </c>
      <c r="HL6" s="116">
        <v>0.19</v>
      </c>
      <c r="HM6" s="116">
        <v>76</v>
      </c>
      <c r="HN6" s="116">
        <v>12</v>
      </c>
      <c r="HO6" s="115"/>
      <c r="HP6" s="115"/>
      <c r="HQ6" s="116">
        <v>0</v>
      </c>
      <c r="HR6" s="116">
        <v>0</v>
      </c>
      <c r="HS6" s="116">
        <v>2</v>
      </c>
      <c r="HT6" s="116">
        <v>203.72</v>
      </c>
      <c r="HU6" s="116">
        <v>203.72</v>
      </c>
      <c r="HV6" s="116">
        <v>0.01</v>
      </c>
      <c r="HW6" s="116">
        <v>0.98</v>
      </c>
      <c r="HX6" s="116">
        <v>0</v>
      </c>
      <c r="HY6" s="116">
        <v>100</v>
      </c>
      <c r="HZ6" s="116">
        <v>200.82</v>
      </c>
      <c r="IA6" s="116">
        <v>898.35</v>
      </c>
      <c r="IB6" s="115"/>
    </row>
    <row r="7" spans="1:237" ht="16" x14ac:dyDescent="0.2">
      <c r="A7" s="114">
        <v>351770</v>
      </c>
      <c r="B7" s="116" t="s">
        <v>379</v>
      </c>
      <c r="C7" s="116" t="s">
        <v>235</v>
      </c>
      <c r="D7" s="116">
        <v>2016</v>
      </c>
      <c r="E7" s="116">
        <v>35177011</v>
      </c>
      <c r="F7" s="116" t="s">
        <v>380</v>
      </c>
      <c r="G7" s="116" t="s">
        <v>381</v>
      </c>
      <c r="H7" s="116" t="s">
        <v>236</v>
      </c>
      <c r="I7" s="116" t="s">
        <v>237</v>
      </c>
      <c r="J7" s="116" t="s">
        <v>382</v>
      </c>
      <c r="K7" s="116">
        <v>1</v>
      </c>
      <c r="L7" s="116">
        <v>0</v>
      </c>
      <c r="M7" s="116">
        <v>0</v>
      </c>
      <c r="N7" s="116">
        <v>1</v>
      </c>
      <c r="O7" s="116">
        <v>1</v>
      </c>
      <c r="P7" s="116">
        <v>1</v>
      </c>
      <c r="Q7" s="116">
        <v>1</v>
      </c>
      <c r="R7" s="116">
        <v>1</v>
      </c>
      <c r="S7" s="116">
        <v>0</v>
      </c>
      <c r="T7" s="116">
        <v>0</v>
      </c>
      <c r="U7" s="115"/>
      <c r="V7" s="115"/>
      <c r="W7" s="116" t="s">
        <v>239</v>
      </c>
      <c r="X7" s="116" t="s">
        <v>239</v>
      </c>
      <c r="Y7" s="115"/>
      <c r="Z7" s="117">
        <v>20997</v>
      </c>
      <c r="AA7" s="117">
        <v>20326</v>
      </c>
      <c r="AB7" s="117">
        <v>20326</v>
      </c>
      <c r="AC7" s="117">
        <v>20242</v>
      </c>
      <c r="AD7" s="117">
        <v>6252</v>
      </c>
      <c r="AE7" s="117">
        <v>6319</v>
      </c>
      <c r="AF7" s="117">
        <v>6618</v>
      </c>
      <c r="AG7" s="117">
        <v>6742</v>
      </c>
      <c r="AH7" s="117">
        <v>6224</v>
      </c>
      <c r="AI7" s="117">
        <v>6293</v>
      </c>
      <c r="AJ7" s="116">
        <v>65</v>
      </c>
      <c r="AK7" s="116">
        <v>65</v>
      </c>
      <c r="AL7" s="118">
        <v>1990.99</v>
      </c>
      <c r="AM7" s="116">
        <v>0</v>
      </c>
      <c r="AN7" s="118">
        <v>1156.6099999999999</v>
      </c>
      <c r="AO7" s="118">
        <v>1156.6099999999999</v>
      </c>
      <c r="AP7" s="118">
        <v>1387.8</v>
      </c>
      <c r="AQ7" s="118">
        <v>1990.99</v>
      </c>
      <c r="AR7" s="117">
        <v>6126</v>
      </c>
      <c r="AS7" s="117">
        <v>6227</v>
      </c>
      <c r="AT7" s="117">
        <v>6618</v>
      </c>
      <c r="AU7" s="117">
        <v>6709</v>
      </c>
      <c r="AV7" s="118">
        <v>1990.99</v>
      </c>
      <c r="AW7" s="116">
        <v>0</v>
      </c>
      <c r="AX7" s="116">
        <v>0</v>
      </c>
      <c r="AY7" s="116">
        <v>0</v>
      </c>
      <c r="AZ7" s="118">
        <v>1080.0899999999999</v>
      </c>
      <c r="BA7" s="117">
        <v>7433</v>
      </c>
      <c r="BB7" s="117">
        <v>7239</v>
      </c>
      <c r="BC7" s="117">
        <v>6126</v>
      </c>
      <c r="BD7" s="117">
        <v>6221</v>
      </c>
      <c r="BE7" s="116">
        <v>0</v>
      </c>
      <c r="BF7" s="115"/>
      <c r="BG7" s="117">
        <v>20326</v>
      </c>
      <c r="BH7" s="117">
        <v>20242</v>
      </c>
      <c r="BI7" s="118">
        <v>1990.99</v>
      </c>
      <c r="BJ7" s="118">
        <v>3123.23</v>
      </c>
      <c r="BK7" s="117">
        <v>20326</v>
      </c>
      <c r="BL7" s="117">
        <v>20242</v>
      </c>
      <c r="BM7" s="117">
        <v>6763</v>
      </c>
      <c r="BN7" s="117">
        <v>6178</v>
      </c>
      <c r="BO7" s="117">
        <v>6763</v>
      </c>
      <c r="BP7" s="117">
        <v>6556</v>
      </c>
      <c r="BQ7" s="116">
        <v>67</v>
      </c>
      <c r="BR7" s="116">
        <v>67</v>
      </c>
      <c r="BS7" s="118">
        <v>1156.6099999999999</v>
      </c>
      <c r="BT7" s="118">
        <v>1156.6099999999999</v>
      </c>
      <c r="BU7" s="118">
        <v>1364.55</v>
      </c>
      <c r="BV7" s="117">
        <v>6265</v>
      </c>
      <c r="BW7" s="117">
        <v>6074</v>
      </c>
      <c r="BX7" s="117">
        <v>7433</v>
      </c>
      <c r="BY7" s="117">
        <v>7156</v>
      </c>
      <c r="BZ7" s="116">
        <v>0</v>
      </c>
      <c r="CA7" s="116">
        <v>0</v>
      </c>
      <c r="CB7" s="116">
        <v>0</v>
      </c>
      <c r="CC7" s="116">
        <v>0</v>
      </c>
      <c r="CD7" s="115"/>
      <c r="CE7" s="117">
        <v>20326</v>
      </c>
      <c r="CF7" s="117">
        <v>20242</v>
      </c>
      <c r="CG7" s="116">
        <v>103.58</v>
      </c>
      <c r="CH7" s="118">
        <v>4824909.21</v>
      </c>
      <c r="CI7" s="118">
        <v>2722125.63</v>
      </c>
      <c r="CJ7" s="118">
        <v>2102783.58</v>
      </c>
      <c r="CK7" s="116">
        <v>0</v>
      </c>
      <c r="CL7" s="118">
        <v>4824909.21</v>
      </c>
      <c r="CM7" s="118">
        <v>5124086</v>
      </c>
      <c r="CN7" s="116">
        <v>0</v>
      </c>
      <c r="CO7" s="118">
        <v>2304472.4300000002</v>
      </c>
      <c r="CP7" s="118">
        <v>1433956.87</v>
      </c>
      <c r="CQ7" s="118">
        <v>811243.51</v>
      </c>
      <c r="CR7" s="118">
        <v>118994.78</v>
      </c>
      <c r="CS7" s="118">
        <v>917839.67</v>
      </c>
      <c r="CT7" s="118">
        <v>4203.12</v>
      </c>
      <c r="CU7" s="118">
        <v>2787598.7</v>
      </c>
      <c r="CV7" s="116">
        <v>0</v>
      </c>
      <c r="CW7" s="118">
        <v>3144582.47</v>
      </c>
      <c r="CX7" s="116">
        <v>0</v>
      </c>
      <c r="CY7" s="118">
        <v>223395.5</v>
      </c>
      <c r="CZ7" s="116">
        <v>0</v>
      </c>
      <c r="DA7" s="118">
        <v>133588.26999999999</v>
      </c>
      <c r="DB7" s="118">
        <v>133588.26999999999</v>
      </c>
      <c r="DC7" s="118">
        <v>98678.39</v>
      </c>
      <c r="DD7" s="118">
        <v>139523.69</v>
      </c>
      <c r="DE7" s="118">
        <v>61802.32</v>
      </c>
      <c r="DF7" s="116">
        <v>15</v>
      </c>
      <c r="DG7" s="116">
        <v>15</v>
      </c>
      <c r="DH7" s="118">
        <v>801729.35</v>
      </c>
      <c r="DI7" s="116">
        <v>0</v>
      </c>
      <c r="DJ7" s="118">
        <v>300004.40000000002</v>
      </c>
      <c r="DK7" s="116">
        <v>0</v>
      </c>
      <c r="DL7" s="116">
        <v>0</v>
      </c>
      <c r="DM7" s="118">
        <v>300004.40000000002</v>
      </c>
      <c r="DN7" s="116">
        <v>0</v>
      </c>
      <c r="DO7" s="116">
        <v>0</v>
      </c>
      <c r="DP7" s="116">
        <v>0</v>
      </c>
      <c r="DQ7" s="116">
        <v>0</v>
      </c>
      <c r="DR7" s="116">
        <v>0</v>
      </c>
      <c r="DS7" s="116">
        <v>0</v>
      </c>
      <c r="DT7" s="116">
        <v>0</v>
      </c>
      <c r="DU7" s="116">
        <v>0</v>
      </c>
      <c r="DV7" s="116">
        <v>0</v>
      </c>
      <c r="DW7" s="116">
        <v>0</v>
      </c>
      <c r="DX7" s="116">
        <v>0</v>
      </c>
      <c r="DY7" s="116">
        <v>0</v>
      </c>
      <c r="DZ7" s="116">
        <v>0</v>
      </c>
      <c r="EA7" s="116">
        <v>0</v>
      </c>
      <c r="EB7" s="116">
        <v>0</v>
      </c>
      <c r="EC7" s="116">
        <v>0</v>
      </c>
      <c r="ED7" s="116">
        <v>0</v>
      </c>
      <c r="EE7" s="116">
        <v>0</v>
      </c>
      <c r="EF7" s="116">
        <v>0</v>
      </c>
      <c r="EG7" s="116">
        <v>0</v>
      </c>
      <c r="EH7" s="116">
        <v>0</v>
      </c>
      <c r="EI7" s="116">
        <v>0</v>
      </c>
      <c r="EJ7" s="115"/>
      <c r="EK7" s="116">
        <v>1</v>
      </c>
      <c r="EL7" s="116">
        <v>8</v>
      </c>
      <c r="EM7" s="116">
        <v>67</v>
      </c>
      <c r="EN7" s="117">
        <v>2170</v>
      </c>
      <c r="EO7" s="116">
        <v>0</v>
      </c>
      <c r="EP7" s="117">
        <v>2170</v>
      </c>
      <c r="EQ7" s="116">
        <v>0</v>
      </c>
      <c r="ER7" s="116">
        <v>1</v>
      </c>
      <c r="ES7" s="116">
        <v>4</v>
      </c>
      <c r="ET7" s="116">
        <v>0</v>
      </c>
      <c r="EU7" s="116">
        <v>850</v>
      </c>
      <c r="EV7" s="116">
        <v>850</v>
      </c>
      <c r="EW7" s="116">
        <v>0</v>
      </c>
      <c r="EX7" s="116">
        <v>0</v>
      </c>
      <c r="EY7" s="117">
        <v>15135</v>
      </c>
      <c r="EZ7" s="117">
        <v>15135</v>
      </c>
      <c r="FA7" s="118">
        <v>16146.31</v>
      </c>
      <c r="FB7" s="116">
        <v>850</v>
      </c>
      <c r="FC7" s="116">
        <v>0</v>
      </c>
      <c r="FD7" s="116">
        <v>850</v>
      </c>
      <c r="FE7" s="116">
        <v>1.06</v>
      </c>
      <c r="FF7" s="116">
        <v>889.3</v>
      </c>
      <c r="FG7" s="116">
        <v>1.1399999999999999</v>
      </c>
      <c r="FH7" s="116">
        <v>1.75</v>
      </c>
      <c r="FI7" s="116">
        <v>1.96</v>
      </c>
      <c r="FJ7" s="116">
        <v>1.54</v>
      </c>
      <c r="FK7" s="116">
        <v>25.93</v>
      </c>
      <c r="FL7" s="118">
        <v>54082.9</v>
      </c>
      <c r="FM7" s="116">
        <v>99.57</v>
      </c>
      <c r="FN7" s="116">
        <v>58.09</v>
      </c>
      <c r="FO7" s="116">
        <v>100</v>
      </c>
      <c r="FP7" s="116">
        <v>153.44</v>
      </c>
      <c r="FQ7" s="116">
        <v>30.3</v>
      </c>
      <c r="FR7" s="116">
        <v>14.46</v>
      </c>
      <c r="FS7" s="116">
        <v>100</v>
      </c>
      <c r="FT7" s="116">
        <v>100</v>
      </c>
      <c r="FU7" s="116">
        <v>17.309999999999999</v>
      </c>
      <c r="FV7" s="116">
        <v>15.08</v>
      </c>
      <c r="FW7" s="116">
        <v>884.72</v>
      </c>
      <c r="FX7" s="116">
        <v>8.86</v>
      </c>
      <c r="FY7" s="116">
        <v>9.19</v>
      </c>
      <c r="FZ7" s="116">
        <v>156.22</v>
      </c>
      <c r="GA7" s="116">
        <v>100</v>
      </c>
      <c r="GB7" s="116">
        <v>100</v>
      </c>
      <c r="GC7" s="116">
        <v>24.84</v>
      </c>
      <c r="GD7" s="116">
        <v>1.01</v>
      </c>
      <c r="GE7" s="116">
        <v>208.97</v>
      </c>
      <c r="GF7" s="116">
        <v>69.7</v>
      </c>
      <c r="GG7" s="116">
        <v>-6.2</v>
      </c>
      <c r="GH7" s="116">
        <v>57.78</v>
      </c>
      <c r="GI7" s="116">
        <v>16.809999999999999</v>
      </c>
      <c r="GJ7" s="116">
        <v>16.899999999999999</v>
      </c>
      <c r="GK7" s="116">
        <v>0</v>
      </c>
      <c r="GL7" s="116">
        <v>16.62</v>
      </c>
      <c r="GM7" s="116">
        <v>29.1</v>
      </c>
      <c r="GN7" s="116">
        <v>29.25</v>
      </c>
      <c r="GO7" s="116">
        <v>32.93</v>
      </c>
      <c r="GP7" s="116">
        <v>4.2699999999999996</v>
      </c>
      <c r="GQ7" s="116">
        <v>28.76</v>
      </c>
      <c r="GR7" s="116">
        <v>56.42</v>
      </c>
      <c r="GS7" s="116">
        <v>43.58</v>
      </c>
      <c r="GT7" s="116">
        <v>0</v>
      </c>
      <c r="GU7" s="116">
        <v>92.46</v>
      </c>
      <c r="GV7" s="116">
        <v>100</v>
      </c>
      <c r="GW7" s="116">
        <v>2.39</v>
      </c>
      <c r="GX7" s="116">
        <v>100</v>
      </c>
      <c r="GY7" s="116">
        <v>100</v>
      </c>
      <c r="GZ7" s="116">
        <v>1.18</v>
      </c>
      <c r="HA7" s="116">
        <v>41.91</v>
      </c>
      <c r="HB7" s="116">
        <v>35.17</v>
      </c>
      <c r="HC7" s="116">
        <v>363.69</v>
      </c>
      <c r="HD7" s="116">
        <v>58.09</v>
      </c>
      <c r="HE7" s="116">
        <v>14.43</v>
      </c>
      <c r="HF7" s="116">
        <v>171.94</v>
      </c>
      <c r="HG7" s="116">
        <v>96.8</v>
      </c>
      <c r="HH7" s="116">
        <v>96.8</v>
      </c>
      <c r="HI7" s="116">
        <v>100</v>
      </c>
      <c r="HJ7" s="116">
        <v>1.57</v>
      </c>
      <c r="HK7" s="116">
        <v>0.09</v>
      </c>
      <c r="HL7" s="116">
        <v>0.28000000000000003</v>
      </c>
      <c r="HM7" s="116">
        <v>67</v>
      </c>
      <c r="HN7" s="116">
        <v>8</v>
      </c>
      <c r="HO7" s="115"/>
      <c r="HP7" s="115"/>
      <c r="HQ7" s="116">
        <v>0</v>
      </c>
      <c r="HR7" s="116">
        <v>0</v>
      </c>
      <c r="HS7" s="116">
        <v>4</v>
      </c>
      <c r="HT7" s="116">
        <v>255.29</v>
      </c>
      <c r="HU7" s="116">
        <v>255.29</v>
      </c>
      <c r="HV7" s="116">
        <v>0.01</v>
      </c>
      <c r="HW7" s="116">
        <v>1.07</v>
      </c>
      <c r="HX7" s="116">
        <v>0</v>
      </c>
      <c r="HY7" s="116">
        <v>100</v>
      </c>
      <c r="HZ7" s="116">
        <v>175.41</v>
      </c>
      <c r="IA7" s="116">
        <v>846.02</v>
      </c>
      <c r="IB7" s="115"/>
    </row>
    <row r="8" spans="1:237" ht="16" x14ac:dyDescent="0.2">
      <c r="A8" s="114">
        <v>351770</v>
      </c>
      <c r="B8" s="116" t="s">
        <v>379</v>
      </c>
      <c r="C8" s="116" t="s">
        <v>235</v>
      </c>
      <c r="D8" s="116">
        <v>2015</v>
      </c>
      <c r="E8" s="116">
        <v>35177011</v>
      </c>
      <c r="F8" s="116" t="s">
        <v>380</v>
      </c>
      <c r="G8" s="116" t="s">
        <v>381</v>
      </c>
      <c r="H8" s="116" t="s">
        <v>236</v>
      </c>
      <c r="I8" s="116" t="s">
        <v>237</v>
      </c>
      <c r="J8" s="116" t="s">
        <v>382</v>
      </c>
      <c r="K8" s="116">
        <v>1</v>
      </c>
      <c r="L8" s="116">
        <v>0</v>
      </c>
      <c r="M8" s="116">
        <v>0</v>
      </c>
      <c r="N8" s="116">
        <v>1</v>
      </c>
      <c r="O8" s="116">
        <v>1</v>
      </c>
      <c r="P8" s="116">
        <v>1</v>
      </c>
      <c r="Q8" s="116">
        <v>1</v>
      </c>
      <c r="R8" s="116">
        <v>1</v>
      </c>
      <c r="S8" s="116">
        <v>0</v>
      </c>
      <c r="T8" s="116">
        <v>0</v>
      </c>
      <c r="U8" s="115"/>
      <c r="V8" s="115"/>
      <c r="W8" s="116" t="s">
        <v>239</v>
      </c>
      <c r="X8" s="116" t="s">
        <v>239</v>
      </c>
      <c r="Y8" s="115"/>
      <c r="Z8" s="117">
        <v>20911</v>
      </c>
      <c r="AA8" s="117">
        <v>20242</v>
      </c>
      <c r="AB8" s="117">
        <v>20242</v>
      </c>
      <c r="AC8" s="117">
        <v>20157</v>
      </c>
      <c r="AD8" s="117">
        <v>6319</v>
      </c>
      <c r="AE8" s="117">
        <v>6257</v>
      </c>
      <c r="AF8" s="117">
        <v>6742</v>
      </c>
      <c r="AG8" s="117">
        <v>6674</v>
      </c>
      <c r="AH8" s="117">
        <v>6293</v>
      </c>
      <c r="AI8" s="117">
        <v>6227</v>
      </c>
      <c r="AJ8" s="116">
        <v>65</v>
      </c>
      <c r="AK8" s="116">
        <v>65</v>
      </c>
      <c r="AL8" s="118">
        <v>2080.66</v>
      </c>
      <c r="AM8" s="116">
        <v>0</v>
      </c>
      <c r="AN8" s="118">
        <v>1159.8900000000001</v>
      </c>
      <c r="AO8" s="118">
        <v>1159.8900000000001</v>
      </c>
      <c r="AP8" s="118">
        <v>1391.04</v>
      </c>
      <c r="AQ8" s="118">
        <v>2080.66</v>
      </c>
      <c r="AR8" s="117">
        <v>6227</v>
      </c>
      <c r="AS8" s="117">
        <v>6154</v>
      </c>
      <c r="AT8" s="117">
        <v>6709</v>
      </c>
      <c r="AU8" s="117">
        <v>6637</v>
      </c>
      <c r="AV8" s="118">
        <v>2080.66</v>
      </c>
      <c r="AW8" s="116">
        <v>0</v>
      </c>
      <c r="AX8" s="116">
        <v>0</v>
      </c>
      <c r="AY8" s="116">
        <v>0</v>
      </c>
      <c r="AZ8" s="118">
        <v>1072.6600000000001</v>
      </c>
      <c r="BA8" s="117">
        <v>7239</v>
      </c>
      <c r="BB8" s="117">
        <v>7117</v>
      </c>
      <c r="BC8" s="117">
        <v>6221</v>
      </c>
      <c r="BD8" s="117">
        <v>6144</v>
      </c>
      <c r="BE8" s="116">
        <v>0</v>
      </c>
      <c r="BF8" s="115"/>
      <c r="BG8" s="117">
        <v>20242</v>
      </c>
      <c r="BH8" s="117">
        <v>20157</v>
      </c>
      <c r="BI8" s="118">
        <v>2080.66</v>
      </c>
      <c r="BJ8" s="118">
        <v>1520.7</v>
      </c>
      <c r="BK8" s="117">
        <v>20242</v>
      </c>
      <c r="BL8" s="117">
        <v>20157</v>
      </c>
      <c r="BM8" s="117">
        <v>6178</v>
      </c>
      <c r="BN8" s="117">
        <v>6084</v>
      </c>
      <c r="BO8" s="117">
        <v>6556</v>
      </c>
      <c r="BP8" s="117">
        <v>6489</v>
      </c>
      <c r="BQ8" s="116">
        <v>67</v>
      </c>
      <c r="BR8" s="116">
        <v>67</v>
      </c>
      <c r="BS8" s="116">
        <v>927.91</v>
      </c>
      <c r="BT8" s="116">
        <v>927.91</v>
      </c>
      <c r="BU8" s="118">
        <v>1360.9</v>
      </c>
      <c r="BV8" s="117">
        <v>6074</v>
      </c>
      <c r="BW8" s="117">
        <v>5995</v>
      </c>
      <c r="BX8" s="117">
        <v>7156</v>
      </c>
      <c r="BY8" s="117">
        <v>7020</v>
      </c>
      <c r="BZ8" s="116">
        <v>0</v>
      </c>
      <c r="CA8" s="116">
        <v>0</v>
      </c>
      <c r="CB8" s="116">
        <v>0</v>
      </c>
      <c r="CC8" s="116">
        <v>0</v>
      </c>
      <c r="CD8" s="115"/>
      <c r="CE8" s="117">
        <v>20242</v>
      </c>
      <c r="CF8" s="117">
        <v>20157</v>
      </c>
      <c r="CG8" s="116">
        <v>72.349999999999994</v>
      </c>
      <c r="CH8" s="118">
        <v>4448819.6100000003</v>
      </c>
      <c r="CI8" s="118">
        <v>2521786.88</v>
      </c>
      <c r="CJ8" s="118">
        <v>1927032.73</v>
      </c>
      <c r="CK8" s="116">
        <v>0</v>
      </c>
      <c r="CL8" s="118">
        <v>4448819.6100000003</v>
      </c>
      <c r="CM8" s="118">
        <v>4676034.71</v>
      </c>
      <c r="CN8" s="116">
        <v>0</v>
      </c>
      <c r="CO8" s="118">
        <v>1433956.87</v>
      </c>
      <c r="CP8" s="118">
        <v>2403251.33</v>
      </c>
      <c r="CQ8" s="118">
        <v>923184.2</v>
      </c>
      <c r="CR8" s="118">
        <v>129732.7</v>
      </c>
      <c r="CS8" s="118">
        <v>758373.99</v>
      </c>
      <c r="CT8" s="116">
        <v>920</v>
      </c>
      <c r="CU8" s="118">
        <v>2202861.21</v>
      </c>
      <c r="CV8" s="118">
        <v>28060.09</v>
      </c>
      <c r="CW8" s="118">
        <v>2776115.43</v>
      </c>
      <c r="CX8" s="116">
        <v>0</v>
      </c>
      <c r="CY8" s="118">
        <v>208936.41</v>
      </c>
      <c r="CZ8" s="116">
        <v>0</v>
      </c>
      <c r="DA8" s="118">
        <v>178171.39</v>
      </c>
      <c r="DB8" s="116">
        <v>0</v>
      </c>
      <c r="DC8" s="118">
        <v>202575.68</v>
      </c>
      <c r="DD8" s="118">
        <v>50965.37</v>
      </c>
      <c r="DE8" s="118">
        <v>230895.38</v>
      </c>
      <c r="DF8" s="116">
        <v>15</v>
      </c>
      <c r="DG8" s="116">
        <v>16</v>
      </c>
      <c r="DH8" s="118">
        <v>212478.93</v>
      </c>
      <c r="DI8" s="118">
        <v>336257.72</v>
      </c>
      <c r="DJ8" s="118">
        <v>484436.43</v>
      </c>
      <c r="DK8" s="116">
        <v>0</v>
      </c>
      <c r="DL8" s="116">
        <v>0</v>
      </c>
      <c r="DM8" s="118">
        <v>484436.43</v>
      </c>
      <c r="DN8" s="116">
        <v>0</v>
      </c>
      <c r="DO8" s="118">
        <v>28060.09</v>
      </c>
      <c r="DP8" s="116">
        <v>0</v>
      </c>
      <c r="DQ8" s="118">
        <v>28060.09</v>
      </c>
      <c r="DR8" s="116">
        <v>0</v>
      </c>
      <c r="DS8" s="116">
        <v>0</v>
      </c>
      <c r="DT8" s="116">
        <v>0</v>
      </c>
      <c r="DU8" s="116">
        <v>0</v>
      </c>
      <c r="DV8" s="116">
        <v>0</v>
      </c>
      <c r="DW8" s="116">
        <v>0</v>
      </c>
      <c r="DX8" s="116">
        <v>0</v>
      </c>
      <c r="DY8" s="116">
        <v>0</v>
      </c>
      <c r="DZ8" s="116">
        <v>0</v>
      </c>
      <c r="EA8" s="116">
        <v>0</v>
      </c>
      <c r="EB8" s="116">
        <v>0</v>
      </c>
      <c r="EC8" s="116">
        <v>0</v>
      </c>
      <c r="ED8" s="116">
        <v>0</v>
      </c>
      <c r="EE8" s="116">
        <v>0</v>
      </c>
      <c r="EF8" s="116">
        <v>0</v>
      </c>
      <c r="EG8" s="116">
        <v>0</v>
      </c>
      <c r="EH8" s="116">
        <v>0</v>
      </c>
      <c r="EI8" s="116">
        <v>0</v>
      </c>
      <c r="EJ8" s="115"/>
      <c r="EK8" s="116">
        <v>20</v>
      </c>
      <c r="EL8" s="116">
        <v>3</v>
      </c>
      <c r="EM8" s="116">
        <v>500</v>
      </c>
      <c r="EN8" s="117">
        <v>2395</v>
      </c>
      <c r="EO8" s="116">
        <v>0</v>
      </c>
      <c r="EP8" s="117">
        <v>2395</v>
      </c>
      <c r="EQ8" s="116">
        <v>0</v>
      </c>
      <c r="ER8" s="116">
        <v>4</v>
      </c>
      <c r="ES8" s="116">
        <v>16</v>
      </c>
      <c r="ET8" s="116">
        <v>0</v>
      </c>
      <c r="EU8" s="116">
        <v>901</v>
      </c>
      <c r="EV8" s="116">
        <v>901</v>
      </c>
      <c r="EW8" s="116">
        <v>0</v>
      </c>
      <c r="EX8" s="116">
        <v>0</v>
      </c>
      <c r="EY8" s="117">
        <v>15261</v>
      </c>
      <c r="EZ8" s="117">
        <v>14702</v>
      </c>
      <c r="FA8" s="118">
        <v>9792.56</v>
      </c>
      <c r="FB8" s="116">
        <v>907</v>
      </c>
      <c r="FC8" s="116">
        <v>0</v>
      </c>
      <c r="FD8" s="116">
        <v>901</v>
      </c>
      <c r="FE8" s="116">
        <v>1.07</v>
      </c>
      <c r="FF8" s="116">
        <v>853.58</v>
      </c>
      <c r="FG8" s="116">
        <v>1.01</v>
      </c>
      <c r="FH8" s="116">
        <v>1.62</v>
      </c>
      <c r="FI8" s="116">
        <v>1.81</v>
      </c>
      <c r="FJ8" s="116">
        <v>1.42</v>
      </c>
      <c r="FK8" s="116">
        <v>33.29</v>
      </c>
      <c r="FL8" s="118">
        <v>59560.27</v>
      </c>
      <c r="FM8" s="116">
        <v>99.55</v>
      </c>
      <c r="FN8" s="116">
        <v>55.75</v>
      </c>
      <c r="FO8" s="116">
        <v>100</v>
      </c>
      <c r="FP8" s="116">
        <v>160.25</v>
      </c>
      <c r="FQ8" s="116">
        <v>33.14</v>
      </c>
      <c r="FR8" s="116">
        <v>14.48</v>
      </c>
      <c r="FS8" s="116">
        <v>80</v>
      </c>
      <c r="FT8" s="116">
        <v>100</v>
      </c>
      <c r="FU8" s="116">
        <v>17.28</v>
      </c>
      <c r="FV8" s="116">
        <v>15.52</v>
      </c>
      <c r="FW8" s="116">
        <v>852.73</v>
      </c>
      <c r="FX8" s="116">
        <v>9.06</v>
      </c>
      <c r="FY8" s="116">
        <v>9.4499999999999993</v>
      </c>
      <c r="FZ8" s="116">
        <v>157.32</v>
      </c>
      <c r="GA8" s="116">
        <v>100</v>
      </c>
      <c r="GB8" s="116">
        <v>100</v>
      </c>
      <c r="GC8" s="116">
        <v>25.85</v>
      </c>
      <c r="GD8" s="116">
        <v>0.8</v>
      </c>
      <c r="GE8" s="116">
        <v>166.5</v>
      </c>
      <c r="GF8" s="116">
        <v>66.86</v>
      </c>
      <c r="GG8" s="116">
        <v>-5.1100000000000003</v>
      </c>
      <c r="GH8" s="116">
        <v>49.52</v>
      </c>
      <c r="GI8" s="116">
        <v>20.75</v>
      </c>
      <c r="GJ8" s="116">
        <v>20.77</v>
      </c>
      <c r="GK8" s="116">
        <v>0.63</v>
      </c>
      <c r="GL8" s="116">
        <v>4.78</v>
      </c>
      <c r="GM8" s="116">
        <v>41.91</v>
      </c>
      <c r="GN8" s="116">
        <v>41.95</v>
      </c>
      <c r="GO8" s="116">
        <v>34.43</v>
      </c>
      <c r="GP8" s="116">
        <v>5.89</v>
      </c>
      <c r="GQ8" s="116">
        <v>9.65</v>
      </c>
      <c r="GR8" s="116">
        <v>56.68</v>
      </c>
      <c r="GS8" s="116">
        <v>43.32</v>
      </c>
      <c r="GT8" s="116">
        <v>0</v>
      </c>
      <c r="GU8" s="116">
        <v>92.29</v>
      </c>
      <c r="GV8" s="116">
        <v>100</v>
      </c>
      <c r="GW8" s="116">
        <v>2.4700000000000002</v>
      </c>
      <c r="GX8" s="116">
        <v>80</v>
      </c>
      <c r="GY8" s="116">
        <v>100</v>
      </c>
      <c r="GZ8" s="116">
        <v>1.25</v>
      </c>
      <c r="HA8" s="116">
        <v>44.25</v>
      </c>
      <c r="HB8" s="116">
        <v>38.81</v>
      </c>
      <c r="HC8" s="116">
        <v>401.19</v>
      </c>
      <c r="HD8" s="116">
        <v>55.75</v>
      </c>
      <c r="HE8" s="116">
        <v>14.41</v>
      </c>
      <c r="HF8" s="116">
        <v>116.04</v>
      </c>
      <c r="HG8" s="116">
        <v>96.8</v>
      </c>
      <c r="HH8" s="116">
        <v>96.8</v>
      </c>
      <c r="HI8" s="116">
        <v>100</v>
      </c>
      <c r="HJ8" s="116">
        <v>0.73</v>
      </c>
      <c r="HK8" s="116">
        <v>0.08</v>
      </c>
      <c r="HL8" s="116">
        <v>0.48</v>
      </c>
      <c r="HM8" s="116">
        <v>25</v>
      </c>
      <c r="HN8" s="116">
        <v>0.15</v>
      </c>
      <c r="HO8" s="115"/>
      <c r="HP8" s="115"/>
      <c r="HQ8" s="116">
        <v>0</v>
      </c>
      <c r="HR8" s="116">
        <v>0</v>
      </c>
      <c r="HS8" s="116">
        <v>4</v>
      </c>
      <c r="HT8" s="116">
        <v>265.82</v>
      </c>
      <c r="HU8" s="116">
        <v>265.82</v>
      </c>
      <c r="HV8" s="116">
        <v>0.06</v>
      </c>
      <c r="HW8" s="116">
        <v>0.67</v>
      </c>
      <c r="HX8" s="116">
        <v>0</v>
      </c>
      <c r="HY8" s="116">
        <v>100.67</v>
      </c>
      <c r="HZ8" s="116">
        <v>209.6</v>
      </c>
      <c r="IA8" s="116">
        <v>800.43</v>
      </c>
      <c r="IB8" s="115"/>
    </row>
    <row r="9" spans="1:237" ht="16" x14ac:dyDescent="0.2">
      <c r="A9" s="114">
        <v>351770</v>
      </c>
      <c r="B9" s="116" t="s">
        <v>379</v>
      </c>
      <c r="C9" s="116" t="s">
        <v>235</v>
      </c>
      <c r="D9" s="116">
        <v>2014</v>
      </c>
      <c r="E9" s="116">
        <v>35177011</v>
      </c>
      <c r="F9" s="116" t="s">
        <v>380</v>
      </c>
      <c r="G9" s="116" t="s">
        <v>381</v>
      </c>
      <c r="H9" s="116" t="s">
        <v>236</v>
      </c>
      <c r="I9" s="116" t="s">
        <v>237</v>
      </c>
      <c r="J9" s="116" t="s">
        <v>382</v>
      </c>
      <c r="K9" s="116">
        <v>1</v>
      </c>
      <c r="L9" s="116">
        <v>0</v>
      </c>
      <c r="M9" s="116">
        <v>0</v>
      </c>
      <c r="N9" s="116">
        <v>1</v>
      </c>
      <c r="O9" s="116">
        <v>1</v>
      </c>
      <c r="P9" s="116">
        <v>1</v>
      </c>
      <c r="Q9" s="116">
        <v>1</v>
      </c>
      <c r="R9" s="116">
        <v>1</v>
      </c>
      <c r="S9" s="116">
        <v>0</v>
      </c>
      <c r="T9" s="116">
        <v>0</v>
      </c>
      <c r="U9" s="115"/>
      <c r="V9" s="115"/>
      <c r="W9" s="116" t="s">
        <v>239</v>
      </c>
      <c r="X9" s="116" t="s">
        <v>239</v>
      </c>
      <c r="Y9" s="115"/>
      <c r="Z9" s="117">
        <v>20823</v>
      </c>
      <c r="AA9" s="117">
        <v>20157</v>
      </c>
      <c r="AB9" s="117">
        <v>20157</v>
      </c>
      <c r="AC9" s="117">
        <v>20070</v>
      </c>
      <c r="AD9" s="117">
        <v>6257</v>
      </c>
      <c r="AE9" s="117">
        <v>6107</v>
      </c>
      <c r="AF9" s="117">
        <v>6674</v>
      </c>
      <c r="AG9" s="117">
        <v>6550</v>
      </c>
      <c r="AH9" s="117">
        <v>6227</v>
      </c>
      <c r="AI9" s="117">
        <v>6107</v>
      </c>
      <c r="AJ9" s="116">
        <v>65</v>
      </c>
      <c r="AK9" s="116">
        <v>65</v>
      </c>
      <c r="AL9" s="118">
        <v>2127.7600000000002</v>
      </c>
      <c r="AM9" s="116">
        <v>0</v>
      </c>
      <c r="AN9" s="118">
        <v>1244.44</v>
      </c>
      <c r="AO9" s="118">
        <v>1244.44</v>
      </c>
      <c r="AP9" s="118">
        <v>1444.99</v>
      </c>
      <c r="AQ9" s="118">
        <v>2127.7600000000002</v>
      </c>
      <c r="AR9" s="117">
        <v>6154</v>
      </c>
      <c r="AS9" s="117">
        <v>5960</v>
      </c>
      <c r="AT9" s="117">
        <v>6637</v>
      </c>
      <c r="AU9" s="117">
        <v>6550</v>
      </c>
      <c r="AV9" s="118">
        <v>2127.7600000000002</v>
      </c>
      <c r="AW9" s="116">
        <v>0</v>
      </c>
      <c r="AX9" s="116">
        <v>0</v>
      </c>
      <c r="AY9" s="116">
        <v>0</v>
      </c>
      <c r="AZ9" s="118">
        <v>1140.54</v>
      </c>
      <c r="BA9" s="117">
        <v>7117</v>
      </c>
      <c r="BB9" s="117">
        <v>7016</v>
      </c>
      <c r="BC9" s="117">
        <v>6144</v>
      </c>
      <c r="BD9" s="117">
        <v>5960</v>
      </c>
      <c r="BE9" s="116">
        <v>0</v>
      </c>
      <c r="BF9" s="115"/>
      <c r="BG9" s="117">
        <v>20157</v>
      </c>
      <c r="BH9" s="117">
        <v>20070</v>
      </c>
      <c r="BI9" s="118">
        <v>2127.7600000000002</v>
      </c>
      <c r="BJ9" s="118">
        <v>1632.68</v>
      </c>
      <c r="BK9" s="117">
        <v>20157</v>
      </c>
      <c r="BL9" s="117">
        <v>20070</v>
      </c>
      <c r="BM9" s="117">
        <v>6084</v>
      </c>
      <c r="BN9" s="117">
        <v>6030</v>
      </c>
      <c r="BO9" s="117">
        <v>6489</v>
      </c>
      <c r="BP9" s="117">
        <v>6430</v>
      </c>
      <c r="BQ9" s="116">
        <v>67</v>
      </c>
      <c r="BR9" s="116">
        <v>67</v>
      </c>
      <c r="BS9" s="116">
        <v>995.52</v>
      </c>
      <c r="BT9" s="116">
        <v>995.52</v>
      </c>
      <c r="BU9" s="118">
        <v>1442.99</v>
      </c>
      <c r="BV9" s="117">
        <v>5995</v>
      </c>
      <c r="BW9" s="117">
        <v>5936</v>
      </c>
      <c r="BX9" s="117">
        <v>7020</v>
      </c>
      <c r="BY9" s="117">
        <v>7016</v>
      </c>
      <c r="BZ9" s="116">
        <v>0</v>
      </c>
      <c r="CA9" s="116">
        <v>0</v>
      </c>
      <c r="CB9" s="116">
        <v>0</v>
      </c>
      <c r="CC9" s="116">
        <v>0</v>
      </c>
      <c r="CD9" s="115"/>
      <c r="CE9" s="117">
        <v>20157</v>
      </c>
      <c r="CF9" s="117">
        <v>20070</v>
      </c>
      <c r="CG9" s="116">
        <v>64.48</v>
      </c>
      <c r="CH9" s="118">
        <v>4320354.7300000004</v>
      </c>
      <c r="CI9" s="118">
        <v>2480426.5299999998</v>
      </c>
      <c r="CJ9" s="118">
        <v>1839928.2</v>
      </c>
      <c r="CK9" s="116">
        <v>0</v>
      </c>
      <c r="CL9" s="118">
        <v>4320354.7300000004</v>
      </c>
      <c r="CM9" s="118">
        <v>4594005.2699999996</v>
      </c>
      <c r="CN9" s="116">
        <v>0</v>
      </c>
      <c r="CO9" s="118">
        <v>2403251.33</v>
      </c>
      <c r="CP9" s="118">
        <v>4336332.21</v>
      </c>
      <c r="CQ9" s="118">
        <v>702261.66</v>
      </c>
      <c r="CR9" s="118">
        <v>93413.7</v>
      </c>
      <c r="CS9" s="118">
        <v>583780.68999999994</v>
      </c>
      <c r="CT9" s="118">
        <v>54969.8</v>
      </c>
      <c r="CU9" s="118">
        <v>1864328.97</v>
      </c>
      <c r="CV9" s="118">
        <v>25778.14</v>
      </c>
      <c r="CW9" s="118">
        <v>2387609.86</v>
      </c>
      <c r="CX9" s="116">
        <v>0</v>
      </c>
      <c r="CY9" s="118">
        <v>199565.59</v>
      </c>
      <c r="CZ9" s="116">
        <v>0</v>
      </c>
      <c r="DA9" s="118">
        <v>422126.07</v>
      </c>
      <c r="DB9" s="118">
        <v>94334.2</v>
      </c>
      <c r="DC9" s="118">
        <v>108353.32</v>
      </c>
      <c r="DD9" s="118">
        <v>21434.28</v>
      </c>
      <c r="DE9" s="118">
        <v>151117.62</v>
      </c>
      <c r="DF9" s="116">
        <v>16</v>
      </c>
      <c r="DG9" s="116">
        <v>14</v>
      </c>
      <c r="DH9" s="118">
        <v>7777.05</v>
      </c>
      <c r="DI9" s="118">
        <v>203602.96</v>
      </c>
      <c r="DJ9" s="115"/>
      <c r="DK9" s="115"/>
      <c r="DL9" s="115"/>
      <c r="DM9" s="118">
        <v>280905.21999999997</v>
      </c>
      <c r="DN9" s="116">
        <v>0</v>
      </c>
      <c r="DO9" s="118">
        <v>25778.14</v>
      </c>
      <c r="DP9" s="116">
        <v>0</v>
      </c>
      <c r="DQ9" s="118">
        <v>25778.14</v>
      </c>
      <c r="DR9" s="116">
        <v>0</v>
      </c>
      <c r="DS9" s="116">
        <v>0</v>
      </c>
      <c r="DT9" s="116">
        <v>0</v>
      </c>
      <c r="DU9" s="116">
        <v>0</v>
      </c>
      <c r="DV9" s="116">
        <v>0</v>
      </c>
      <c r="DW9" s="116">
        <v>0</v>
      </c>
      <c r="DX9" s="116">
        <v>0</v>
      </c>
      <c r="DY9" s="116">
        <v>0</v>
      </c>
      <c r="DZ9" s="116">
        <v>0</v>
      </c>
      <c r="EA9" s="116">
        <v>0</v>
      </c>
      <c r="EB9" s="116">
        <v>0</v>
      </c>
      <c r="EC9" s="116">
        <v>0</v>
      </c>
      <c r="ED9" s="116">
        <v>0</v>
      </c>
      <c r="EE9" s="116">
        <v>0</v>
      </c>
      <c r="EF9" s="116">
        <v>0</v>
      </c>
      <c r="EG9" s="116">
        <v>0</v>
      </c>
      <c r="EH9" s="116">
        <v>0</v>
      </c>
      <c r="EI9" s="116">
        <v>0</v>
      </c>
      <c r="EJ9" s="115"/>
      <c r="EK9" s="116">
        <v>19</v>
      </c>
      <c r="EL9" s="116">
        <v>6</v>
      </c>
      <c r="EM9" s="116">
        <v>500</v>
      </c>
      <c r="EN9" s="117">
        <v>2328</v>
      </c>
      <c r="EO9" s="116">
        <v>0</v>
      </c>
      <c r="EP9" s="117">
        <v>2328</v>
      </c>
      <c r="EQ9" s="116">
        <v>0</v>
      </c>
      <c r="ER9" s="116">
        <v>5</v>
      </c>
      <c r="ES9" s="116">
        <v>15</v>
      </c>
      <c r="ET9" s="116">
        <v>0</v>
      </c>
      <c r="EU9" s="116">
        <v>901</v>
      </c>
      <c r="EV9" s="116">
        <v>901</v>
      </c>
      <c r="EW9" s="116">
        <v>0</v>
      </c>
      <c r="EX9" s="116">
        <v>0</v>
      </c>
      <c r="EY9" s="117">
        <v>15769</v>
      </c>
      <c r="EZ9" s="117">
        <v>15503</v>
      </c>
      <c r="FA9" s="118">
        <v>11760</v>
      </c>
      <c r="FB9" s="116">
        <v>901</v>
      </c>
      <c r="FC9" s="116">
        <v>0</v>
      </c>
      <c r="FD9" s="116">
        <v>901</v>
      </c>
      <c r="FE9" s="116">
        <v>1.07</v>
      </c>
      <c r="FF9" s="116">
        <v>871.43</v>
      </c>
      <c r="FG9" s="116">
        <v>0.83</v>
      </c>
      <c r="FH9" s="116">
        <v>1.5</v>
      </c>
      <c r="FI9" s="116">
        <v>1.72</v>
      </c>
      <c r="FJ9" s="116">
        <v>1.28</v>
      </c>
      <c r="FK9" s="116">
        <v>31.72</v>
      </c>
      <c r="FL9" s="118">
        <v>46817.440000000002</v>
      </c>
      <c r="FM9" s="116">
        <v>99.76</v>
      </c>
      <c r="FN9" s="116">
        <v>58.49</v>
      </c>
      <c r="FO9" s="116">
        <v>100</v>
      </c>
      <c r="FP9" s="116">
        <v>180.95</v>
      </c>
      <c r="FQ9" s="116">
        <v>32.090000000000003</v>
      </c>
      <c r="FR9" s="116">
        <v>15.73</v>
      </c>
      <c r="FS9" s="116">
        <v>80</v>
      </c>
      <c r="FT9" s="116">
        <v>100</v>
      </c>
      <c r="FU9" s="116">
        <v>18.21</v>
      </c>
      <c r="FV9" s="116">
        <v>16.170000000000002</v>
      </c>
      <c r="FW9" s="116">
        <v>808.17</v>
      </c>
      <c r="FX9" s="116">
        <v>9.1999999999999993</v>
      </c>
      <c r="FY9" s="116">
        <v>9.5500000000000007</v>
      </c>
      <c r="FZ9" s="116">
        <v>169.51</v>
      </c>
      <c r="GA9" s="116">
        <v>100</v>
      </c>
      <c r="GB9" s="116">
        <v>100</v>
      </c>
      <c r="GC9" s="116">
        <v>26.82</v>
      </c>
      <c r="GD9" s="116">
        <v>0.65</v>
      </c>
      <c r="GE9" s="116">
        <v>142.63</v>
      </c>
      <c r="GF9" s="116">
        <v>67.91</v>
      </c>
      <c r="GG9" s="116">
        <v>-6.33</v>
      </c>
      <c r="GH9" s="116">
        <v>43.15</v>
      </c>
      <c r="GI9" s="116">
        <v>16.25</v>
      </c>
      <c r="GJ9" s="116">
        <v>17.53</v>
      </c>
      <c r="GK9" s="116">
        <v>0.6</v>
      </c>
      <c r="GL9" s="116">
        <v>0.18</v>
      </c>
      <c r="GM9" s="116">
        <v>37.67</v>
      </c>
      <c r="GN9" s="116">
        <v>40.619999999999997</v>
      </c>
      <c r="GO9" s="116">
        <v>31.31</v>
      </c>
      <c r="GP9" s="116">
        <v>5.01</v>
      </c>
      <c r="GQ9" s="116">
        <v>0.42</v>
      </c>
      <c r="GR9" s="116">
        <v>57.41</v>
      </c>
      <c r="GS9" s="116">
        <v>42.59</v>
      </c>
      <c r="GT9" s="116">
        <v>0</v>
      </c>
      <c r="GU9" s="116">
        <v>91.61</v>
      </c>
      <c r="GV9" s="116">
        <v>100</v>
      </c>
      <c r="GW9" s="116">
        <v>2.4300000000000002</v>
      </c>
      <c r="GX9" s="116">
        <v>80</v>
      </c>
      <c r="GY9" s="116">
        <v>100</v>
      </c>
      <c r="GZ9" s="116">
        <v>1.23</v>
      </c>
      <c r="HA9" s="116">
        <v>41.51</v>
      </c>
      <c r="HB9" s="116">
        <v>37.229999999999997</v>
      </c>
      <c r="HC9" s="116">
        <v>391.47</v>
      </c>
      <c r="HD9" s="116">
        <v>58.49</v>
      </c>
      <c r="HE9" s="116">
        <v>15.68</v>
      </c>
      <c r="HF9" s="116">
        <v>200.25</v>
      </c>
      <c r="HG9" s="116">
        <v>96.8</v>
      </c>
      <c r="HH9" s="116">
        <v>96.8</v>
      </c>
      <c r="HI9" s="116">
        <v>100</v>
      </c>
      <c r="HJ9" s="116">
        <v>0.77</v>
      </c>
      <c r="HK9" s="116">
        <v>0.06</v>
      </c>
      <c r="HL9" s="116">
        <v>0.34</v>
      </c>
      <c r="HM9" s="116">
        <v>26.32</v>
      </c>
      <c r="HN9" s="116">
        <v>0.32</v>
      </c>
      <c r="HO9" s="115"/>
      <c r="HP9" s="115"/>
      <c r="HQ9" s="116">
        <v>0</v>
      </c>
      <c r="HR9" s="116">
        <v>0</v>
      </c>
      <c r="HS9" s="116">
        <v>3</v>
      </c>
      <c r="HT9" s="116">
        <v>258.38</v>
      </c>
      <c r="HU9" s="116">
        <v>258.38</v>
      </c>
      <c r="HV9" s="116">
        <v>7.0000000000000007E-2</v>
      </c>
      <c r="HW9" s="116">
        <v>0.76</v>
      </c>
      <c r="HX9" s="116">
        <v>0</v>
      </c>
      <c r="HY9" s="116">
        <v>100</v>
      </c>
      <c r="HZ9" s="116">
        <v>231.5</v>
      </c>
      <c r="IA9" s="116">
        <v>756.7</v>
      </c>
      <c r="IB9" s="115"/>
    </row>
    <row r="10" spans="1:237" ht="16" x14ac:dyDescent="0.2">
      <c r="A10" s="114">
        <v>351770</v>
      </c>
      <c r="B10" s="116" t="s">
        <v>379</v>
      </c>
      <c r="C10" s="116" t="s">
        <v>235</v>
      </c>
      <c r="D10" s="116">
        <v>2013</v>
      </c>
      <c r="E10" s="116">
        <v>35177011</v>
      </c>
      <c r="F10" s="116" t="s">
        <v>380</v>
      </c>
      <c r="G10" s="116" t="s">
        <v>381</v>
      </c>
      <c r="H10" s="116" t="s">
        <v>236</v>
      </c>
      <c r="I10" s="116" t="s">
        <v>237</v>
      </c>
      <c r="J10" s="116" t="s">
        <v>382</v>
      </c>
      <c r="K10" s="116">
        <v>1</v>
      </c>
      <c r="L10" s="116">
        <v>0</v>
      </c>
      <c r="M10" s="116">
        <v>0</v>
      </c>
      <c r="N10" s="116">
        <v>1</v>
      </c>
      <c r="O10" s="116">
        <v>1</v>
      </c>
      <c r="P10" s="116">
        <v>1</v>
      </c>
      <c r="Q10" s="116">
        <v>1</v>
      </c>
      <c r="R10" s="116">
        <v>1</v>
      </c>
      <c r="S10" s="116">
        <v>0</v>
      </c>
      <c r="T10" s="116">
        <v>0</v>
      </c>
      <c r="U10" s="115"/>
      <c r="V10" s="115"/>
      <c r="W10" s="116" t="s">
        <v>239</v>
      </c>
      <c r="X10" s="116" t="s">
        <v>239</v>
      </c>
      <c r="Y10" s="115"/>
      <c r="Z10" s="117">
        <v>20733</v>
      </c>
      <c r="AA10" s="117">
        <v>20070</v>
      </c>
      <c r="AB10" s="117">
        <v>20070</v>
      </c>
      <c r="AC10" s="117">
        <v>19361</v>
      </c>
      <c r="AD10" s="117">
        <v>6107</v>
      </c>
      <c r="AE10" s="117">
        <v>5990</v>
      </c>
      <c r="AF10" s="117">
        <v>6550</v>
      </c>
      <c r="AG10" s="117">
        <v>5990</v>
      </c>
      <c r="AH10" s="117">
        <v>6107</v>
      </c>
      <c r="AI10" s="117">
        <v>5990</v>
      </c>
      <c r="AJ10" s="116">
        <v>65</v>
      </c>
      <c r="AK10" s="116">
        <v>65</v>
      </c>
      <c r="AL10" s="118">
        <v>2000</v>
      </c>
      <c r="AM10" s="116">
        <v>0</v>
      </c>
      <c r="AN10" s="118">
        <v>1146</v>
      </c>
      <c r="AO10" s="118">
        <v>1146</v>
      </c>
      <c r="AP10" s="118">
        <v>1358</v>
      </c>
      <c r="AQ10" s="118">
        <v>2000</v>
      </c>
      <c r="AR10" s="117">
        <v>5960</v>
      </c>
      <c r="AS10" s="117">
        <v>5495</v>
      </c>
      <c r="AT10" s="117">
        <v>6550</v>
      </c>
      <c r="AU10" s="117">
        <v>5990</v>
      </c>
      <c r="AV10" s="118">
        <v>2000</v>
      </c>
      <c r="AW10" s="116">
        <v>0</v>
      </c>
      <c r="AX10" s="116">
        <v>0</v>
      </c>
      <c r="AY10" s="116">
        <v>0</v>
      </c>
      <c r="AZ10" s="118">
        <v>1063</v>
      </c>
      <c r="BA10" s="117">
        <v>7016</v>
      </c>
      <c r="BB10" s="117">
        <v>6725</v>
      </c>
      <c r="BC10" s="117">
        <v>5960</v>
      </c>
      <c r="BD10" s="117">
        <v>5495</v>
      </c>
      <c r="BE10" s="116">
        <v>0</v>
      </c>
      <c r="BF10" s="115"/>
      <c r="BG10" s="117">
        <v>20070</v>
      </c>
      <c r="BH10" s="117">
        <v>19361</v>
      </c>
      <c r="BI10" s="118">
        <v>2000</v>
      </c>
      <c r="BJ10" s="118">
        <v>1548</v>
      </c>
      <c r="BK10" s="117">
        <v>20070</v>
      </c>
      <c r="BL10" s="117">
        <v>19361</v>
      </c>
      <c r="BM10" s="117">
        <v>6030</v>
      </c>
      <c r="BN10" s="117">
        <v>5876</v>
      </c>
      <c r="BO10" s="117">
        <v>6430</v>
      </c>
      <c r="BP10" s="117">
        <v>5876</v>
      </c>
      <c r="BQ10" s="116">
        <v>67</v>
      </c>
      <c r="BR10" s="116">
        <v>65</v>
      </c>
      <c r="BS10" s="116">
        <v>916.8</v>
      </c>
      <c r="BT10" s="116">
        <v>916.8</v>
      </c>
      <c r="BU10" s="118">
        <v>1086.4000000000001</v>
      </c>
      <c r="BV10" s="117">
        <v>5936</v>
      </c>
      <c r="BW10" s="117">
        <v>5440</v>
      </c>
      <c r="BX10" s="117">
        <v>7016</v>
      </c>
      <c r="BY10" s="117">
        <v>6725</v>
      </c>
      <c r="BZ10" s="116">
        <v>0</v>
      </c>
      <c r="CA10" s="116">
        <v>0</v>
      </c>
      <c r="CB10" s="116">
        <v>0</v>
      </c>
      <c r="CC10" s="116">
        <v>0</v>
      </c>
      <c r="CD10" s="115"/>
      <c r="CE10" s="117">
        <v>20070</v>
      </c>
      <c r="CF10" s="117">
        <v>19361</v>
      </c>
      <c r="CG10" s="116">
        <v>57</v>
      </c>
      <c r="CH10" s="118">
        <v>3725451.98</v>
      </c>
      <c r="CI10" s="118">
        <v>2095016.05</v>
      </c>
      <c r="CJ10" s="118">
        <v>1630435.93</v>
      </c>
      <c r="CK10" s="116">
        <v>0</v>
      </c>
      <c r="CL10" s="118">
        <v>3725451.98</v>
      </c>
      <c r="CM10" s="118">
        <v>3443403.52</v>
      </c>
      <c r="CN10" s="116">
        <v>0</v>
      </c>
      <c r="CO10" s="118">
        <v>4336332.21</v>
      </c>
      <c r="CP10" s="118">
        <v>2604450.31</v>
      </c>
      <c r="CQ10" s="118">
        <v>468401.57</v>
      </c>
      <c r="CR10" s="118">
        <v>20581.48</v>
      </c>
      <c r="CS10" s="118">
        <v>406834.59</v>
      </c>
      <c r="CT10" s="118">
        <v>13175.4</v>
      </c>
      <c r="CU10" s="118">
        <v>1166809.98</v>
      </c>
      <c r="CV10" s="118">
        <v>21302.92</v>
      </c>
      <c r="CW10" s="118">
        <v>1791721.08</v>
      </c>
      <c r="CX10" s="116">
        <v>0</v>
      </c>
      <c r="CY10" s="118">
        <v>175298.59</v>
      </c>
      <c r="CZ10" s="116">
        <v>0</v>
      </c>
      <c r="DA10" s="118">
        <v>257816.94</v>
      </c>
      <c r="DB10" s="116">
        <v>0</v>
      </c>
      <c r="DC10" s="116">
        <v>0</v>
      </c>
      <c r="DD10" s="116">
        <v>0</v>
      </c>
      <c r="DE10" s="116">
        <v>0</v>
      </c>
      <c r="DF10" s="116">
        <v>14</v>
      </c>
      <c r="DG10" s="116">
        <v>12</v>
      </c>
      <c r="DH10" s="116">
        <v>0</v>
      </c>
      <c r="DI10" s="118">
        <v>428309.59</v>
      </c>
      <c r="DJ10" s="115"/>
      <c r="DK10" s="115"/>
      <c r="DL10" s="115"/>
      <c r="DM10" s="116">
        <v>0</v>
      </c>
      <c r="DN10" s="116">
        <v>0</v>
      </c>
      <c r="DO10" s="118">
        <v>21302.92</v>
      </c>
      <c r="DP10" s="116">
        <v>0</v>
      </c>
      <c r="DQ10" s="118">
        <v>21302.92</v>
      </c>
      <c r="DR10" s="116">
        <v>0</v>
      </c>
      <c r="DS10" s="116">
        <v>0</v>
      </c>
      <c r="DT10" s="115"/>
      <c r="DU10" s="115"/>
      <c r="DV10" s="115"/>
      <c r="DW10" s="115"/>
      <c r="DX10" s="115"/>
      <c r="DY10" s="115"/>
      <c r="DZ10" s="115"/>
      <c r="EA10" s="115"/>
      <c r="EB10" s="116">
        <v>0</v>
      </c>
      <c r="EC10" s="116">
        <v>0</v>
      </c>
      <c r="ED10" s="116">
        <v>0</v>
      </c>
      <c r="EE10" s="116">
        <v>0</v>
      </c>
      <c r="EF10" s="116">
        <v>0</v>
      </c>
      <c r="EG10" s="116">
        <v>0</v>
      </c>
      <c r="EH10" s="116">
        <v>0</v>
      </c>
      <c r="EI10" s="116">
        <v>0</v>
      </c>
      <c r="EJ10" s="115"/>
      <c r="EK10" s="116">
        <v>2</v>
      </c>
      <c r="EL10" s="116">
        <v>6</v>
      </c>
      <c r="EM10" s="116">
        <v>500</v>
      </c>
      <c r="EN10" s="117">
        <v>2605</v>
      </c>
      <c r="EO10" s="116">
        <v>0</v>
      </c>
      <c r="EP10" s="117">
        <v>2605</v>
      </c>
      <c r="EQ10" s="116">
        <v>0</v>
      </c>
      <c r="ER10" s="116">
        <v>2</v>
      </c>
      <c r="ES10" s="116">
        <v>6</v>
      </c>
      <c r="ET10" s="116">
        <v>0</v>
      </c>
      <c r="EU10" s="117">
        <v>1104</v>
      </c>
      <c r="EV10" s="117">
        <v>1104</v>
      </c>
      <c r="EW10" s="116">
        <v>0</v>
      </c>
      <c r="EX10" s="116">
        <v>0</v>
      </c>
      <c r="EY10" s="117">
        <v>15312</v>
      </c>
      <c r="EZ10" s="117">
        <v>15312</v>
      </c>
      <c r="FA10" s="118">
        <v>11760</v>
      </c>
      <c r="FB10" s="116">
        <v>788</v>
      </c>
      <c r="FC10" s="116">
        <v>0</v>
      </c>
      <c r="FD10" s="116">
        <v>788</v>
      </c>
      <c r="FE10" s="116">
        <v>1.04</v>
      </c>
      <c r="FF10" s="116">
        <v>955.62</v>
      </c>
      <c r="FG10" s="116">
        <v>0.73</v>
      </c>
      <c r="FH10" s="116">
        <v>1.52</v>
      </c>
      <c r="FI10" s="116">
        <v>1.54</v>
      </c>
      <c r="FJ10" s="116">
        <v>1.5</v>
      </c>
      <c r="FK10" s="116">
        <v>26.88</v>
      </c>
      <c r="FL10" s="118">
        <v>36030.89</v>
      </c>
      <c r="FM10" s="116">
        <v>100</v>
      </c>
      <c r="FN10" s="116">
        <v>57.3</v>
      </c>
      <c r="FO10" s="116">
        <v>100</v>
      </c>
      <c r="FP10" s="116">
        <v>207.93</v>
      </c>
      <c r="FQ10" s="116">
        <v>32.1</v>
      </c>
      <c r="FR10" s="116">
        <v>15.23</v>
      </c>
      <c r="FS10" s="116">
        <v>80</v>
      </c>
      <c r="FT10" s="116">
        <v>100</v>
      </c>
      <c r="FU10" s="116">
        <v>18.05</v>
      </c>
      <c r="FV10" s="116">
        <v>13.37</v>
      </c>
      <c r="FW10" s="116">
        <v>929.47</v>
      </c>
      <c r="FX10" s="116">
        <v>9.4600000000000009</v>
      </c>
      <c r="FY10" s="116">
        <v>9.61</v>
      </c>
      <c r="FZ10" s="116">
        <v>159.25</v>
      </c>
      <c r="GA10" s="116">
        <v>100</v>
      </c>
      <c r="GB10" s="116">
        <v>100</v>
      </c>
      <c r="GC10" s="116">
        <v>26.58</v>
      </c>
      <c r="GD10" s="116">
        <v>0.48</v>
      </c>
      <c r="GE10" s="116">
        <v>93.92</v>
      </c>
      <c r="GF10" s="116">
        <v>67.900000000000006</v>
      </c>
      <c r="GG10" s="116">
        <v>7.57</v>
      </c>
      <c r="GH10" s="116">
        <v>31.32</v>
      </c>
      <c r="GI10" s="116">
        <v>12.57</v>
      </c>
      <c r="GJ10" s="116">
        <v>12.93</v>
      </c>
      <c r="GK10" s="116">
        <v>0.56999999999999995</v>
      </c>
      <c r="GL10" s="116">
        <v>0</v>
      </c>
      <c r="GM10" s="116">
        <v>40.14</v>
      </c>
      <c r="GN10" s="116">
        <v>41.27</v>
      </c>
      <c r="GO10" s="116">
        <v>34.869999999999997</v>
      </c>
      <c r="GP10" s="116">
        <v>1.76</v>
      </c>
      <c r="GQ10" s="116">
        <v>0</v>
      </c>
      <c r="GR10" s="116">
        <v>56.24</v>
      </c>
      <c r="GS10" s="116">
        <v>43.76</v>
      </c>
      <c r="GT10" s="116">
        <v>0</v>
      </c>
      <c r="GU10" s="116">
        <v>91.35</v>
      </c>
      <c r="GV10" s="116">
        <v>100</v>
      </c>
      <c r="GW10" s="116">
        <v>2.15</v>
      </c>
      <c r="GX10" s="116">
        <v>80</v>
      </c>
      <c r="GY10" s="116">
        <v>100</v>
      </c>
      <c r="GZ10" s="116">
        <v>1.08</v>
      </c>
      <c r="HA10" s="116">
        <v>42.7</v>
      </c>
      <c r="HB10" s="116">
        <v>36</v>
      </c>
      <c r="HC10" s="116">
        <v>386.83</v>
      </c>
      <c r="HD10" s="116">
        <v>57.3</v>
      </c>
      <c r="HE10" s="116">
        <v>15.23</v>
      </c>
      <c r="HF10" s="116">
        <v>419.03</v>
      </c>
      <c r="HG10" s="116">
        <v>96.8</v>
      </c>
      <c r="HH10" s="116">
        <v>96.8</v>
      </c>
      <c r="HI10" s="116">
        <v>100</v>
      </c>
      <c r="HJ10" s="116">
        <v>0.77</v>
      </c>
      <c r="HK10" s="116">
        <v>0.06</v>
      </c>
      <c r="HL10" s="116">
        <v>0.25</v>
      </c>
      <c r="HM10" s="116">
        <v>250</v>
      </c>
      <c r="HN10" s="116">
        <v>3</v>
      </c>
      <c r="HO10" s="115"/>
      <c r="HP10" s="115"/>
      <c r="HQ10" s="116">
        <v>0</v>
      </c>
      <c r="HR10" s="116">
        <v>0</v>
      </c>
      <c r="HS10" s="116">
        <v>3</v>
      </c>
      <c r="HT10" s="116">
        <v>235.96</v>
      </c>
      <c r="HU10" s="116">
        <v>235.96</v>
      </c>
      <c r="HV10" s="116">
        <v>0.03</v>
      </c>
      <c r="HW10" s="116">
        <v>0.77</v>
      </c>
      <c r="HX10" s="116">
        <v>0</v>
      </c>
      <c r="HY10" s="116">
        <v>100</v>
      </c>
      <c r="HZ10" s="116">
        <v>289.82</v>
      </c>
      <c r="IA10" s="116">
        <v>897.93</v>
      </c>
      <c r="IB10" s="115"/>
    </row>
    <row r="11" spans="1:237" ht="16" x14ac:dyDescent="0.2">
      <c r="A11" s="114">
        <v>351770</v>
      </c>
      <c r="B11" s="116" t="s">
        <v>379</v>
      </c>
      <c r="C11" s="116" t="s">
        <v>235</v>
      </c>
      <c r="D11" s="116">
        <v>2012</v>
      </c>
      <c r="E11" s="116">
        <v>35177011</v>
      </c>
      <c r="F11" s="116" t="s">
        <v>380</v>
      </c>
      <c r="G11" s="116" t="s">
        <v>381</v>
      </c>
      <c r="H11" s="116" t="s">
        <v>236</v>
      </c>
      <c r="I11" s="116" t="s">
        <v>237</v>
      </c>
      <c r="J11" s="116" t="s">
        <v>382</v>
      </c>
      <c r="K11" s="116">
        <v>1</v>
      </c>
      <c r="L11" s="116">
        <v>0</v>
      </c>
      <c r="M11" s="116">
        <v>0</v>
      </c>
      <c r="N11" s="116">
        <v>1</v>
      </c>
      <c r="O11" s="116">
        <v>1</v>
      </c>
      <c r="P11" s="116">
        <v>1</v>
      </c>
      <c r="Q11" s="116">
        <v>1</v>
      </c>
      <c r="R11" s="116">
        <v>1</v>
      </c>
      <c r="S11" s="116">
        <v>0</v>
      </c>
      <c r="T11" s="116">
        <v>0</v>
      </c>
      <c r="U11" s="115"/>
      <c r="V11" s="115"/>
      <c r="W11" s="116" t="s">
        <v>239</v>
      </c>
      <c r="X11" s="116" t="s">
        <v>239</v>
      </c>
      <c r="Y11" s="115"/>
      <c r="Z11" s="117">
        <v>20001</v>
      </c>
      <c r="AA11" s="117">
        <v>19361</v>
      </c>
      <c r="AB11" s="117">
        <v>19361</v>
      </c>
      <c r="AC11" s="117">
        <v>19223</v>
      </c>
      <c r="AD11" s="117">
        <v>5990</v>
      </c>
      <c r="AE11" s="117">
        <v>5854</v>
      </c>
      <c r="AF11" s="117">
        <v>5990</v>
      </c>
      <c r="AG11" s="117">
        <v>5854</v>
      </c>
      <c r="AH11" s="117">
        <v>5990</v>
      </c>
      <c r="AI11" s="117">
        <v>5854</v>
      </c>
      <c r="AJ11" s="116">
        <v>65</v>
      </c>
      <c r="AK11" s="116">
        <v>65</v>
      </c>
      <c r="AL11" s="118">
        <v>2000</v>
      </c>
      <c r="AM11" s="116">
        <v>0</v>
      </c>
      <c r="AN11" s="118">
        <v>1137</v>
      </c>
      <c r="AO11" s="118">
        <v>1137</v>
      </c>
      <c r="AP11" s="118">
        <v>1346</v>
      </c>
      <c r="AQ11" s="118">
        <v>2000</v>
      </c>
      <c r="AR11" s="117">
        <v>5495</v>
      </c>
      <c r="AS11" s="117">
        <v>5413</v>
      </c>
      <c r="AT11" s="117">
        <v>5990</v>
      </c>
      <c r="AU11" s="117">
        <v>5854</v>
      </c>
      <c r="AV11" s="118">
        <v>2000</v>
      </c>
      <c r="AW11" s="116">
        <v>0</v>
      </c>
      <c r="AX11" s="116">
        <v>0</v>
      </c>
      <c r="AY11" s="116">
        <v>0</v>
      </c>
      <c r="AZ11" s="118">
        <v>1058</v>
      </c>
      <c r="BA11" s="117">
        <v>6725</v>
      </c>
      <c r="BB11" s="117">
        <v>6433</v>
      </c>
      <c r="BC11" s="117">
        <v>5495</v>
      </c>
      <c r="BD11" s="117">
        <v>5413</v>
      </c>
      <c r="BE11" s="116">
        <v>0</v>
      </c>
      <c r="BF11" s="115"/>
      <c r="BG11" s="117">
        <v>19361</v>
      </c>
      <c r="BH11" s="117">
        <v>19223</v>
      </c>
      <c r="BI11" s="118">
        <v>2000</v>
      </c>
      <c r="BJ11" s="118">
        <v>1408</v>
      </c>
      <c r="BK11" s="117">
        <v>19361</v>
      </c>
      <c r="BL11" s="117">
        <v>19223</v>
      </c>
      <c r="BM11" s="117">
        <v>5876</v>
      </c>
      <c r="BN11" s="117">
        <v>5854</v>
      </c>
      <c r="BO11" s="117">
        <v>5876</v>
      </c>
      <c r="BP11" s="117">
        <v>5854</v>
      </c>
      <c r="BQ11" s="116">
        <v>65</v>
      </c>
      <c r="BR11" s="116">
        <v>65</v>
      </c>
      <c r="BS11" s="116">
        <v>909.6</v>
      </c>
      <c r="BT11" s="116">
        <v>909.6</v>
      </c>
      <c r="BU11" s="118">
        <v>1076.8</v>
      </c>
      <c r="BV11" s="117">
        <v>5440</v>
      </c>
      <c r="BW11" s="117">
        <v>5413</v>
      </c>
      <c r="BX11" s="117">
        <v>6725</v>
      </c>
      <c r="BY11" s="117">
        <v>6433</v>
      </c>
      <c r="BZ11" s="116">
        <v>0</v>
      </c>
      <c r="CA11" s="116">
        <v>0</v>
      </c>
      <c r="CB11" s="116">
        <v>0</v>
      </c>
      <c r="CC11" s="116">
        <v>0</v>
      </c>
      <c r="CD11" s="115"/>
      <c r="CE11" s="117">
        <v>19361</v>
      </c>
      <c r="CF11" s="117">
        <v>19223</v>
      </c>
      <c r="CG11" s="116">
        <v>49</v>
      </c>
      <c r="CH11" s="118">
        <v>3646425.77</v>
      </c>
      <c r="CI11" s="118">
        <v>2034846.95</v>
      </c>
      <c r="CJ11" s="118">
        <v>1611578.82</v>
      </c>
      <c r="CK11" s="116">
        <v>0</v>
      </c>
      <c r="CL11" s="118">
        <v>3646425.77</v>
      </c>
      <c r="CM11" s="118">
        <v>3579708.43</v>
      </c>
      <c r="CN11" s="116">
        <v>0</v>
      </c>
      <c r="CO11" s="118">
        <v>2604450.31</v>
      </c>
      <c r="CP11" s="118">
        <v>2525583.9700000002</v>
      </c>
      <c r="CQ11" s="118">
        <v>330581.56</v>
      </c>
      <c r="CR11" s="118">
        <v>19335.060000000001</v>
      </c>
      <c r="CS11" s="118">
        <v>402991.61</v>
      </c>
      <c r="CT11" s="118">
        <v>191607.31</v>
      </c>
      <c r="CU11" s="118">
        <v>1422618.43</v>
      </c>
      <c r="CV11" s="118">
        <v>33433.68</v>
      </c>
      <c r="CW11" s="118">
        <v>1623512.94</v>
      </c>
      <c r="CX11" s="116">
        <v>0</v>
      </c>
      <c r="CY11" s="118">
        <v>167460.82999999999</v>
      </c>
      <c r="CZ11" s="116">
        <v>0</v>
      </c>
      <c r="DA11" s="118">
        <v>259590.79</v>
      </c>
      <c r="DB11" s="116">
        <v>0</v>
      </c>
      <c r="DC11" s="116">
        <v>0</v>
      </c>
      <c r="DD11" s="116">
        <v>0</v>
      </c>
      <c r="DE11" s="116">
        <v>0</v>
      </c>
      <c r="DF11" s="116">
        <v>12</v>
      </c>
      <c r="DG11" s="116">
        <v>14</v>
      </c>
      <c r="DH11" s="118">
        <v>218512.1</v>
      </c>
      <c r="DI11" s="116">
        <v>0</v>
      </c>
      <c r="DJ11" s="115"/>
      <c r="DK11" s="115"/>
      <c r="DL11" s="115"/>
      <c r="DM11" s="116">
        <v>0</v>
      </c>
      <c r="DN11" s="116">
        <v>0</v>
      </c>
      <c r="DO11" s="118">
        <v>33433.68</v>
      </c>
      <c r="DP11" s="116">
        <v>0</v>
      </c>
      <c r="DQ11" s="118">
        <v>33433.68</v>
      </c>
      <c r="DR11" s="116">
        <v>0</v>
      </c>
      <c r="DS11" s="116">
        <v>0</v>
      </c>
      <c r="DT11" s="115"/>
      <c r="DU11" s="115"/>
      <c r="DV11" s="115"/>
      <c r="DW11" s="115"/>
      <c r="DX11" s="115"/>
      <c r="DY11" s="115"/>
      <c r="DZ11" s="115"/>
      <c r="EA11" s="115"/>
      <c r="EB11" s="116">
        <v>0</v>
      </c>
      <c r="EC11" s="116">
        <v>0</v>
      </c>
      <c r="ED11" s="116">
        <v>0</v>
      </c>
      <c r="EE11" s="116">
        <v>0</v>
      </c>
      <c r="EF11" s="116">
        <v>0</v>
      </c>
      <c r="EG11" s="116">
        <v>0</v>
      </c>
      <c r="EH11" s="116">
        <v>0</v>
      </c>
      <c r="EI11" s="116">
        <v>0</v>
      </c>
      <c r="EJ11" s="115"/>
      <c r="EK11" s="116">
        <v>2</v>
      </c>
      <c r="EL11" s="116">
        <v>6</v>
      </c>
      <c r="EM11" s="116">
        <v>500</v>
      </c>
      <c r="EN11" s="117">
        <v>2196</v>
      </c>
      <c r="EO11" s="116">
        <v>0</v>
      </c>
      <c r="EP11" s="117">
        <v>1732</v>
      </c>
      <c r="EQ11" s="116">
        <v>0</v>
      </c>
      <c r="ER11" s="116">
        <v>2</v>
      </c>
      <c r="ES11" s="116">
        <v>6</v>
      </c>
      <c r="ET11" s="116">
        <v>0</v>
      </c>
      <c r="EU11" s="116">
        <v>981</v>
      </c>
      <c r="EV11" s="117">
        <v>1473</v>
      </c>
      <c r="EW11" s="116">
        <v>0</v>
      </c>
      <c r="EX11" s="116">
        <v>0</v>
      </c>
      <c r="EY11" s="117">
        <v>20540</v>
      </c>
      <c r="EZ11" s="117">
        <v>20540</v>
      </c>
      <c r="FA11" s="118">
        <v>11760</v>
      </c>
      <c r="FB11" s="116">
        <v>744</v>
      </c>
      <c r="FC11" s="116">
        <v>0</v>
      </c>
      <c r="FD11" s="116">
        <v>744</v>
      </c>
      <c r="FE11" s="116">
        <v>1</v>
      </c>
      <c r="FF11" s="116">
        <v>906.69</v>
      </c>
      <c r="FG11" s="116">
        <v>0.67</v>
      </c>
      <c r="FH11" s="116">
        <v>1.51</v>
      </c>
      <c r="FI11" s="116">
        <v>1.51</v>
      </c>
      <c r="FJ11" s="116">
        <v>1.5</v>
      </c>
      <c r="FK11" s="116">
        <v>32.159999999999997</v>
      </c>
      <c r="FL11" s="118">
        <v>25429.35</v>
      </c>
      <c r="FM11" s="116">
        <v>100</v>
      </c>
      <c r="FN11" s="116">
        <v>56.85</v>
      </c>
      <c r="FO11" s="116">
        <v>100</v>
      </c>
      <c r="FP11" s="116">
        <v>224.6</v>
      </c>
      <c r="FQ11" s="116">
        <v>32.700000000000003</v>
      </c>
      <c r="FR11" s="116">
        <v>16</v>
      </c>
      <c r="FS11" s="116">
        <v>80</v>
      </c>
      <c r="FT11" s="116">
        <v>100</v>
      </c>
      <c r="FU11" s="116">
        <v>18.899999999999999</v>
      </c>
      <c r="FV11" s="116">
        <v>21</v>
      </c>
      <c r="FW11" s="116">
        <v>574</v>
      </c>
      <c r="FX11" s="116">
        <v>9.9</v>
      </c>
      <c r="FY11" s="116">
        <v>9.8800000000000008</v>
      </c>
      <c r="FZ11" s="116">
        <v>161.5</v>
      </c>
      <c r="GA11" s="116">
        <v>100</v>
      </c>
      <c r="GB11" s="116">
        <v>100</v>
      </c>
      <c r="GC11" s="116">
        <v>28.1</v>
      </c>
      <c r="GD11" s="116">
        <v>0.59</v>
      </c>
      <c r="GE11" s="116">
        <v>120.69</v>
      </c>
      <c r="GF11" s="116">
        <v>67.3</v>
      </c>
      <c r="GG11" s="116">
        <v>1.83</v>
      </c>
      <c r="GH11" s="116">
        <v>39.01</v>
      </c>
      <c r="GI11" s="116">
        <v>9.07</v>
      </c>
      <c r="GJ11" s="116">
        <v>14.32</v>
      </c>
      <c r="GK11" s="116">
        <v>0.92</v>
      </c>
      <c r="GL11" s="116">
        <v>5.99</v>
      </c>
      <c r="GM11" s="116">
        <v>23.24</v>
      </c>
      <c r="GN11" s="116">
        <v>36.71</v>
      </c>
      <c r="GO11" s="116">
        <v>28.33</v>
      </c>
      <c r="GP11" s="116">
        <v>1.36</v>
      </c>
      <c r="GQ11" s="116">
        <v>15.36</v>
      </c>
      <c r="GR11" s="116">
        <v>55.8</v>
      </c>
      <c r="GS11" s="116">
        <v>44.2</v>
      </c>
      <c r="GT11" s="116">
        <v>0</v>
      </c>
      <c r="GU11" s="116">
        <v>92.1</v>
      </c>
      <c r="GV11" s="116">
        <v>100</v>
      </c>
      <c r="GW11" s="116">
        <v>2.2000000000000002</v>
      </c>
      <c r="GX11" s="116">
        <v>80</v>
      </c>
      <c r="GY11" s="116">
        <v>100</v>
      </c>
      <c r="GZ11" s="116">
        <v>1.1000000000000001</v>
      </c>
      <c r="HA11" s="116">
        <v>43.15</v>
      </c>
      <c r="HB11" s="116">
        <v>36.380000000000003</v>
      </c>
      <c r="HC11" s="116">
        <v>399.25</v>
      </c>
      <c r="HD11" s="116">
        <v>56.85</v>
      </c>
      <c r="HE11" s="116">
        <v>16</v>
      </c>
      <c r="HF11" s="116">
        <v>257</v>
      </c>
      <c r="HG11" s="116">
        <v>96.8</v>
      </c>
      <c r="HH11" s="116">
        <v>96.8</v>
      </c>
      <c r="HI11" s="116">
        <v>100</v>
      </c>
      <c r="HJ11" s="116">
        <v>0.7</v>
      </c>
      <c r="HK11" s="116">
        <v>0.05</v>
      </c>
      <c r="HL11" s="116">
        <v>0.28000000000000003</v>
      </c>
      <c r="HM11" s="116">
        <v>250</v>
      </c>
      <c r="HN11" s="116">
        <v>3</v>
      </c>
      <c r="HO11" s="115"/>
      <c r="HP11" s="115"/>
      <c r="HQ11" s="116">
        <v>0</v>
      </c>
      <c r="HR11" s="116">
        <v>0</v>
      </c>
      <c r="HS11" s="116">
        <v>3</v>
      </c>
      <c r="HT11" s="116">
        <v>149.08000000000001</v>
      </c>
      <c r="HU11" s="116">
        <v>176.55</v>
      </c>
      <c r="HV11" s="116">
        <v>0.03</v>
      </c>
      <c r="HW11" s="116">
        <v>0.56999999999999995</v>
      </c>
      <c r="HX11" s="116">
        <v>0</v>
      </c>
      <c r="HY11" s="116">
        <v>100</v>
      </c>
      <c r="HZ11" s="116">
        <v>245.85</v>
      </c>
      <c r="IA11" s="116">
        <v>574</v>
      </c>
      <c r="IB11" s="115"/>
    </row>
    <row r="12" spans="1:237" ht="16" x14ac:dyDescent="0.2">
      <c r="A12" s="114">
        <v>351770</v>
      </c>
      <c r="B12" s="116" t="s">
        <v>379</v>
      </c>
      <c r="C12" s="116" t="s">
        <v>235</v>
      </c>
      <c r="D12" s="116">
        <v>2011</v>
      </c>
      <c r="E12" s="116">
        <v>35177011</v>
      </c>
      <c r="F12" s="116" t="s">
        <v>380</v>
      </c>
      <c r="G12" s="116" t="s">
        <v>381</v>
      </c>
      <c r="H12" s="116" t="s">
        <v>236</v>
      </c>
      <c r="I12" s="116" t="s">
        <v>237</v>
      </c>
      <c r="J12" s="116" t="s">
        <v>382</v>
      </c>
      <c r="K12" s="116">
        <v>1</v>
      </c>
      <c r="L12" s="116">
        <v>0</v>
      </c>
      <c r="M12" s="116">
        <v>0</v>
      </c>
      <c r="N12" s="116">
        <v>1</v>
      </c>
      <c r="O12" s="116">
        <v>1</v>
      </c>
      <c r="P12" s="116">
        <v>1</v>
      </c>
      <c r="Q12" s="116">
        <v>1</v>
      </c>
      <c r="R12" s="116">
        <v>1</v>
      </c>
      <c r="S12" s="116">
        <v>0</v>
      </c>
      <c r="T12" s="116">
        <v>0</v>
      </c>
      <c r="U12" s="115"/>
      <c r="V12" s="115"/>
      <c r="W12" s="116" t="s">
        <v>239</v>
      </c>
      <c r="X12" s="116" t="s">
        <v>239</v>
      </c>
      <c r="Y12" s="115"/>
      <c r="Z12" s="117">
        <v>19931</v>
      </c>
      <c r="AA12" s="117">
        <v>19294</v>
      </c>
      <c r="AB12" s="117">
        <v>19223</v>
      </c>
      <c r="AC12" s="117">
        <v>19858</v>
      </c>
      <c r="AD12" s="117">
        <v>5854</v>
      </c>
      <c r="AE12" s="117">
        <v>6639</v>
      </c>
      <c r="AF12" s="117">
        <v>5854</v>
      </c>
      <c r="AG12" s="117">
        <v>6639</v>
      </c>
      <c r="AH12" s="117">
        <v>5854</v>
      </c>
      <c r="AI12" s="117">
        <v>6639</v>
      </c>
      <c r="AJ12" s="116">
        <v>65</v>
      </c>
      <c r="AK12" s="116">
        <v>65</v>
      </c>
      <c r="AL12" s="118">
        <v>1442</v>
      </c>
      <c r="AM12" s="116">
        <v>0</v>
      </c>
      <c r="AN12" s="118">
        <v>1138</v>
      </c>
      <c r="AO12" s="118">
        <v>1138</v>
      </c>
      <c r="AP12" s="118">
        <v>1138</v>
      </c>
      <c r="AQ12" s="118">
        <v>1442</v>
      </c>
      <c r="AR12" s="117">
        <v>5413</v>
      </c>
      <c r="AS12" s="117">
        <v>6639</v>
      </c>
      <c r="AT12" s="117">
        <v>5854</v>
      </c>
      <c r="AU12" s="117">
        <v>6639</v>
      </c>
      <c r="AV12" s="118">
        <v>1442</v>
      </c>
      <c r="AW12" s="116">
        <v>0</v>
      </c>
      <c r="AX12" s="116">
        <v>0</v>
      </c>
      <c r="AY12" s="116">
        <v>0</v>
      </c>
      <c r="AZ12" s="118">
        <v>1060</v>
      </c>
      <c r="BA12" s="117">
        <v>6433</v>
      </c>
      <c r="BB12" s="117">
        <v>6639</v>
      </c>
      <c r="BC12" s="117">
        <v>5413</v>
      </c>
      <c r="BD12" s="117">
        <v>6639</v>
      </c>
      <c r="BE12" s="116">
        <v>0</v>
      </c>
      <c r="BF12" s="116">
        <v>635</v>
      </c>
      <c r="BG12" s="117">
        <v>19223</v>
      </c>
      <c r="BH12" s="117">
        <v>19223</v>
      </c>
      <c r="BI12" s="118">
        <v>1442</v>
      </c>
      <c r="BJ12" s="118">
        <v>1600</v>
      </c>
      <c r="BK12" s="117">
        <v>19223</v>
      </c>
      <c r="BL12" s="117">
        <v>19223</v>
      </c>
      <c r="BM12" s="117">
        <v>5854</v>
      </c>
      <c r="BN12" s="117">
        <v>6481</v>
      </c>
      <c r="BO12" s="117">
        <v>5854</v>
      </c>
      <c r="BP12" s="117">
        <v>6639</v>
      </c>
      <c r="BQ12" s="116">
        <v>65</v>
      </c>
      <c r="BR12" s="116">
        <v>65</v>
      </c>
      <c r="BS12" s="118">
        <v>1138</v>
      </c>
      <c r="BT12" s="118">
        <v>1138</v>
      </c>
      <c r="BU12" s="116">
        <v>910</v>
      </c>
      <c r="BV12" s="117">
        <v>5413</v>
      </c>
      <c r="BW12" s="117">
        <v>6639</v>
      </c>
      <c r="BX12" s="117">
        <v>6433</v>
      </c>
      <c r="BY12" s="117">
        <v>6618</v>
      </c>
      <c r="BZ12" s="116">
        <v>0</v>
      </c>
      <c r="CA12" s="116">
        <v>0</v>
      </c>
      <c r="CB12" s="116">
        <v>0</v>
      </c>
      <c r="CC12" s="116">
        <v>0</v>
      </c>
      <c r="CD12" s="116">
        <v>0</v>
      </c>
      <c r="CE12" s="117">
        <v>19223</v>
      </c>
      <c r="CF12" s="117">
        <v>19223</v>
      </c>
      <c r="CG12" s="116">
        <v>74.400000000000006</v>
      </c>
      <c r="CH12" s="118">
        <v>3971314.79</v>
      </c>
      <c r="CI12" s="118">
        <v>2094822.27</v>
      </c>
      <c r="CJ12" s="118">
        <v>1876492.52</v>
      </c>
      <c r="CK12" s="116">
        <v>0</v>
      </c>
      <c r="CL12" s="118">
        <v>3971314.79</v>
      </c>
      <c r="CM12" s="118">
        <v>3494164.63</v>
      </c>
      <c r="CN12" s="116">
        <v>0</v>
      </c>
      <c r="CO12" s="118">
        <v>2525583.9700000002</v>
      </c>
      <c r="CP12" s="118">
        <v>1619000</v>
      </c>
      <c r="CQ12" s="118">
        <v>366897.41</v>
      </c>
      <c r="CR12" s="118">
        <v>19043.72</v>
      </c>
      <c r="CS12" s="118">
        <v>441069.67</v>
      </c>
      <c r="CT12" s="118">
        <v>117401.51</v>
      </c>
      <c r="CU12" s="118">
        <v>1676706.24</v>
      </c>
      <c r="CV12" s="118">
        <v>21875.13</v>
      </c>
      <c r="CW12" s="118">
        <v>2380805.64</v>
      </c>
      <c r="CX12" s="116">
        <v>0</v>
      </c>
      <c r="CY12" s="118">
        <v>342964.72</v>
      </c>
      <c r="CZ12" s="116">
        <v>0</v>
      </c>
      <c r="DA12" s="118">
        <v>339259.55</v>
      </c>
      <c r="DB12" s="118">
        <v>339259.55</v>
      </c>
      <c r="DC12" s="116">
        <v>0</v>
      </c>
      <c r="DD12" s="116">
        <v>0</v>
      </c>
      <c r="DE12" s="116">
        <v>0</v>
      </c>
      <c r="DF12" s="116">
        <v>14</v>
      </c>
      <c r="DG12" s="116">
        <v>14</v>
      </c>
      <c r="DH12" s="118">
        <v>393034.38</v>
      </c>
      <c r="DI12" s="116">
        <v>0</v>
      </c>
      <c r="DJ12" s="116">
        <v>0</v>
      </c>
      <c r="DK12" s="116">
        <v>0</v>
      </c>
      <c r="DL12" s="116">
        <v>0</v>
      </c>
      <c r="DM12" s="116">
        <v>0</v>
      </c>
      <c r="DN12" s="116">
        <v>0</v>
      </c>
      <c r="DO12" s="118">
        <v>21875.13</v>
      </c>
      <c r="DP12" s="116">
        <v>0</v>
      </c>
      <c r="DQ12" s="118">
        <v>21875.13</v>
      </c>
      <c r="DR12" s="116">
        <v>0</v>
      </c>
      <c r="DS12" s="116">
        <v>0</v>
      </c>
      <c r="DT12" s="116">
        <v>0</v>
      </c>
      <c r="DU12" s="116">
        <v>0</v>
      </c>
      <c r="DV12" s="116">
        <v>0</v>
      </c>
      <c r="DW12" s="116">
        <v>0</v>
      </c>
      <c r="DX12" s="116">
        <v>0</v>
      </c>
      <c r="DY12" s="116">
        <v>0</v>
      </c>
      <c r="DZ12" s="116">
        <v>0</v>
      </c>
      <c r="EA12" s="116">
        <v>0</v>
      </c>
      <c r="EB12" s="116">
        <v>0</v>
      </c>
      <c r="EC12" s="116">
        <v>0</v>
      </c>
      <c r="ED12" s="116">
        <v>0</v>
      </c>
      <c r="EE12" s="116">
        <v>0</v>
      </c>
      <c r="EF12" s="116">
        <v>0</v>
      </c>
      <c r="EG12" s="116">
        <v>0</v>
      </c>
      <c r="EH12" s="116">
        <v>0</v>
      </c>
      <c r="EI12" s="116">
        <v>0</v>
      </c>
      <c r="EJ12" s="115"/>
      <c r="EK12" s="116">
        <v>2</v>
      </c>
      <c r="EL12" s="116">
        <v>12</v>
      </c>
      <c r="EM12" s="116">
        <v>500</v>
      </c>
      <c r="EN12" s="117">
        <v>3717</v>
      </c>
      <c r="EO12" s="116">
        <v>0</v>
      </c>
      <c r="EP12" s="117">
        <v>1275</v>
      </c>
      <c r="EQ12" s="116">
        <v>0</v>
      </c>
      <c r="ER12" s="116">
        <v>2</v>
      </c>
      <c r="ES12" s="116">
        <v>4</v>
      </c>
      <c r="ET12" s="116">
        <v>0</v>
      </c>
      <c r="EU12" s="117">
        <v>1275</v>
      </c>
      <c r="EV12" s="117">
        <v>1839</v>
      </c>
      <c r="EW12" s="116">
        <v>0</v>
      </c>
      <c r="EX12" s="116">
        <v>0</v>
      </c>
      <c r="EY12" s="117">
        <v>9833</v>
      </c>
      <c r="EZ12" s="117">
        <v>9833</v>
      </c>
      <c r="FA12" s="118">
        <v>11760</v>
      </c>
      <c r="FB12" s="116">
        <v>744</v>
      </c>
      <c r="FC12" s="116">
        <v>0</v>
      </c>
      <c r="FD12" s="116">
        <v>744</v>
      </c>
      <c r="FE12" s="116">
        <v>1</v>
      </c>
      <c r="FF12" s="116">
        <v>892.36</v>
      </c>
      <c r="FG12" s="116">
        <v>1.1599999999999999</v>
      </c>
      <c r="FH12" s="116">
        <v>1.94</v>
      </c>
      <c r="FI12" s="116">
        <v>1.84</v>
      </c>
      <c r="FJ12" s="116">
        <v>2.06</v>
      </c>
      <c r="FK12" s="116">
        <v>20.34</v>
      </c>
      <c r="FL12" s="118">
        <v>26206.959999999999</v>
      </c>
      <c r="FM12" s="116">
        <v>100</v>
      </c>
      <c r="FN12" s="116">
        <v>78.92</v>
      </c>
      <c r="FO12" s="116">
        <v>100</v>
      </c>
      <c r="FP12" s="116">
        <v>166.81</v>
      </c>
      <c r="FQ12" s="116">
        <v>21.08</v>
      </c>
      <c r="FR12" s="116">
        <v>15.2</v>
      </c>
      <c r="FS12" s="116">
        <v>100</v>
      </c>
      <c r="FT12" s="116">
        <v>100</v>
      </c>
      <c r="FU12" s="116">
        <v>15.2</v>
      </c>
      <c r="FV12" s="116">
        <v>18</v>
      </c>
      <c r="FW12" s="116">
        <v>676.04</v>
      </c>
      <c r="FX12" s="116">
        <v>9.9</v>
      </c>
      <c r="FY12" s="116">
        <v>9.9600000000000009</v>
      </c>
      <c r="FZ12" s="116">
        <v>159.6</v>
      </c>
      <c r="GA12" s="116">
        <v>99.6</v>
      </c>
      <c r="GB12" s="116">
        <v>99.63</v>
      </c>
      <c r="GC12" s="116">
        <v>19.2</v>
      </c>
      <c r="GD12" s="116">
        <v>0.82</v>
      </c>
      <c r="GE12" s="116">
        <v>134.21</v>
      </c>
      <c r="GF12" s="116">
        <v>78.92</v>
      </c>
      <c r="GG12" s="116">
        <v>12.01</v>
      </c>
      <c r="GH12" s="116">
        <v>42.22</v>
      </c>
      <c r="GI12" s="116">
        <v>9.24</v>
      </c>
      <c r="GJ12" s="116">
        <v>12.19</v>
      </c>
      <c r="GK12" s="116">
        <v>0.55000000000000004</v>
      </c>
      <c r="GL12" s="116">
        <v>9.9</v>
      </c>
      <c r="GM12" s="116">
        <v>21.88</v>
      </c>
      <c r="GN12" s="116">
        <v>28.88</v>
      </c>
      <c r="GO12" s="116">
        <v>26.31</v>
      </c>
      <c r="GP12" s="116">
        <v>1.1399999999999999</v>
      </c>
      <c r="GQ12" s="116">
        <v>23.44</v>
      </c>
      <c r="GR12" s="116">
        <v>52.75</v>
      </c>
      <c r="GS12" s="116">
        <v>47.25</v>
      </c>
      <c r="GT12" s="116">
        <v>0</v>
      </c>
      <c r="GU12" s="116">
        <v>96.47</v>
      </c>
      <c r="GV12" s="116">
        <v>100</v>
      </c>
      <c r="GW12" s="116">
        <v>2.2400000000000002</v>
      </c>
      <c r="GX12" s="116">
        <v>100</v>
      </c>
      <c r="GY12" s="116">
        <v>99.63</v>
      </c>
      <c r="GZ12" s="116">
        <v>1.1299999999999999</v>
      </c>
      <c r="HA12" s="116">
        <v>21.08</v>
      </c>
      <c r="HB12" s="116">
        <v>12.81</v>
      </c>
      <c r="HC12" s="116">
        <v>133.33000000000001</v>
      </c>
      <c r="HD12" s="116">
        <v>78.92</v>
      </c>
      <c r="HE12" s="116">
        <v>15.2</v>
      </c>
      <c r="HF12" s="116">
        <v>229</v>
      </c>
      <c r="HG12" s="116">
        <v>96.45</v>
      </c>
      <c r="HH12" s="116">
        <v>96.45</v>
      </c>
      <c r="HI12" s="116">
        <v>100</v>
      </c>
      <c r="HJ12" s="116">
        <v>1.1100000000000001</v>
      </c>
      <c r="HK12" s="116">
        <v>7.0000000000000007E-2</v>
      </c>
      <c r="HL12" s="116">
        <v>0.26</v>
      </c>
      <c r="HM12" s="116">
        <v>250</v>
      </c>
      <c r="HN12" s="116">
        <v>6</v>
      </c>
      <c r="HO12" s="115"/>
      <c r="HP12" s="115"/>
      <c r="HQ12" s="116">
        <v>0</v>
      </c>
      <c r="HR12" s="116">
        <v>0</v>
      </c>
      <c r="HS12" s="116">
        <v>2</v>
      </c>
      <c r="HT12" s="116">
        <v>202.12</v>
      </c>
      <c r="HU12" s="116">
        <v>100</v>
      </c>
      <c r="HV12" s="116">
        <v>0.03</v>
      </c>
      <c r="HW12" s="116">
        <v>1.2</v>
      </c>
      <c r="HX12" s="116">
        <v>0</v>
      </c>
      <c r="HY12" s="116">
        <v>100</v>
      </c>
      <c r="HZ12" s="116">
        <v>171.46</v>
      </c>
      <c r="IA12" s="116">
        <v>671.76</v>
      </c>
      <c r="IB12" s="115"/>
    </row>
    <row r="13" spans="1:237" ht="16" x14ac:dyDescent="0.2">
      <c r="A13" s="114">
        <v>351770</v>
      </c>
      <c r="B13" s="116" t="s">
        <v>379</v>
      </c>
      <c r="C13" s="116" t="s">
        <v>235</v>
      </c>
      <c r="D13" s="116">
        <v>2010</v>
      </c>
      <c r="E13" s="116">
        <v>35177011</v>
      </c>
      <c r="F13" s="116" t="s">
        <v>380</v>
      </c>
      <c r="G13" s="116" t="s">
        <v>381</v>
      </c>
      <c r="H13" s="116" t="s">
        <v>236</v>
      </c>
      <c r="I13" s="116" t="s">
        <v>237</v>
      </c>
      <c r="J13" s="116" t="s">
        <v>382</v>
      </c>
      <c r="K13" s="116">
        <v>1</v>
      </c>
      <c r="L13" s="116">
        <v>0</v>
      </c>
      <c r="M13" s="116">
        <v>0</v>
      </c>
      <c r="N13" s="116">
        <v>1</v>
      </c>
      <c r="O13" s="116">
        <v>1</v>
      </c>
      <c r="P13" s="116">
        <v>1</v>
      </c>
      <c r="Q13" s="116">
        <v>1</v>
      </c>
      <c r="R13" s="116">
        <v>1</v>
      </c>
      <c r="S13" s="116">
        <v>0</v>
      </c>
      <c r="T13" s="116">
        <v>0</v>
      </c>
      <c r="U13" s="115"/>
      <c r="V13" s="115"/>
      <c r="W13" s="116" t="s">
        <v>238</v>
      </c>
      <c r="X13" s="116" t="s">
        <v>238</v>
      </c>
      <c r="Y13" s="115"/>
      <c r="Z13" s="117">
        <v>19858</v>
      </c>
      <c r="AA13" s="117">
        <v>19223</v>
      </c>
      <c r="AB13" s="117">
        <v>19858</v>
      </c>
      <c r="AC13" s="117">
        <v>19168</v>
      </c>
      <c r="AD13" s="117">
        <v>6639</v>
      </c>
      <c r="AE13" s="117">
        <v>6221</v>
      </c>
      <c r="AF13" s="117">
        <v>6639</v>
      </c>
      <c r="AG13" s="117">
        <v>6293</v>
      </c>
      <c r="AH13" s="117">
        <v>6639</v>
      </c>
      <c r="AI13" s="117">
        <v>6221</v>
      </c>
      <c r="AJ13" s="116">
        <v>65</v>
      </c>
      <c r="AK13" s="116">
        <v>62</v>
      </c>
      <c r="AL13" s="118">
        <v>1870</v>
      </c>
      <c r="AM13" s="116">
        <v>0</v>
      </c>
      <c r="AN13" s="118">
        <v>1540</v>
      </c>
      <c r="AO13" s="118">
        <v>1540</v>
      </c>
      <c r="AP13" s="118">
        <v>1540</v>
      </c>
      <c r="AQ13" s="118">
        <v>1870</v>
      </c>
      <c r="AR13" s="117">
        <v>6639</v>
      </c>
      <c r="AS13" s="117">
        <v>6221</v>
      </c>
      <c r="AT13" s="117">
        <v>6639</v>
      </c>
      <c r="AU13" s="117">
        <v>6293</v>
      </c>
      <c r="AV13" s="118">
        <v>1870</v>
      </c>
      <c r="AW13" s="116">
        <v>0</v>
      </c>
      <c r="AX13" s="116">
        <v>0</v>
      </c>
      <c r="AY13" s="116">
        <v>0</v>
      </c>
      <c r="AZ13" s="118">
        <v>1540</v>
      </c>
      <c r="BA13" s="117">
        <v>6639</v>
      </c>
      <c r="BB13" s="117">
        <v>6293</v>
      </c>
      <c r="BC13" s="117">
        <v>6639</v>
      </c>
      <c r="BD13" s="117">
        <v>6221</v>
      </c>
      <c r="BE13" s="115"/>
      <c r="BF13" s="116">
        <v>800</v>
      </c>
      <c r="BG13" s="117">
        <v>19223</v>
      </c>
      <c r="BH13" s="117">
        <v>18368</v>
      </c>
      <c r="BI13" s="118">
        <v>1870</v>
      </c>
      <c r="BJ13" s="118">
        <v>1764</v>
      </c>
      <c r="BK13" s="117">
        <v>19223</v>
      </c>
      <c r="BL13" s="117">
        <v>19168</v>
      </c>
      <c r="BM13" s="117">
        <v>6481</v>
      </c>
      <c r="BN13" s="117">
        <v>5592</v>
      </c>
      <c r="BO13" s="117">
        <v>6639</v>
      </c>
      <c r="BP13" s="117">
        <v>6293</v>
      </c>
      <c r="BQ13" s="116">
        <v>65</v>
      </c>
      <c r="BR13" s="116">
        <v>63</v>
      </c>
      <c r="BS13" s="118">
        <v>1510</v>
      </c>
      <c r="BT13" s="118">
        <v>1510</v>
      </c>
      <c r="BU13" s="116">
        <v>900</v>
      </c>
      <c r="BV13" s="117">
        <v>6639</v>
      </c>
      <c r="BW13" s="117">
        <v>6293</v>
      </c>
      <c r="BX13" s="117">
        <v>6618</v>
      </c>
      <c r="BY13" s="117">
        <v>6069</v>
      </c>
      <c r="BZ13" s="116">
        <v>0</v>
      </c>
      <c r="CA13" s="116">
        <v>0</v>
      </c>
      <c r="CB13" s="116">
        <v>0</v>
      </c>
      <c r="CC13" s="116">
        <v>0</v>
      </c>
      <c r="CD13" s="116">
        <v>0</v>
      </c>
      <c r="CE13" s="117">
        <v>19223</v>
      </c>
      <c r="CF13" s="117">
        <v>19168</v>
      </c>
      <c r="CG13" s="116">
        <v>21</v>
      </c>
      <c r="CH13" s="118">
        <v>3723758</v>
      </c>
      <c r="CI13" s="118">
        <v>1962058</v>
      </c>
      <c r="CJ13" s="118">
        <v>1761700</v>
      </c>
      <c r="CK13" s="116">
        <v>0</v>
      </c>
      <c r="CL13" s="118">
        <v>3723758</v>
      </c>
      <c r="CM13" s="118">
        <v>2402000</v>
      </c>
      <c r="CN13" s="116">
        <v>0</v>
      </c>
      <c r="CO13" s="118">
        <v>1619000</v>
      </c>
      <c r="CP13" s="118">
        <v>1376649</v>
      </c>
      <c r="CQ13" s="118">
        <v>275349</v>
      </c>
      <c r="CR13" s="118">
        <v>19589</v>
      </c>
      <c r="CS13" s="118">
        <v>400444</v>
      </c>
      <c r="CT13" s="118">
        <v>135496</v>
      </c>
      <c r="CU13" s="118">
        <v>965457</v>
      </c>
      <c r="CV13" s="118">
        <v>74011</v>
      </c>
      <c r="CW13" s="118">
        <v>1688720</v>
      </c>
      <c r="CX13" s="115"/>
      <c r="CY13" s="118">
        <v>413707</v>
      </c>
      <c r="CZ13" s="116">
        <v>0</v>
      </c>
      <c r="DA13" s="118">
        <v>134579</v>
      </c>
      <c r="DB13" s="118">
        <v>235545</v>
      </c>
      <c r="DC13" s="115"/>
      <c r="DD13" s="115"/>
      <c r="DE13" s="115"/>
      <c r="DF13" s="116">
        <v>14</v>
      </c>
      <c r="DG13" s="116">
        <v>15</v>
      </c>
      <c r="DH13" s="116">
        <v>0</v>
      </c>
      <c r="DI13" s="116">
        <v>0</v>
      </c>
      <c r="DJ13" s="115"/>
      <c r="DK13" s="115"/>
      <c r="DL13" s="115"/>
      <c r="DM13" s="115"/>
      <c r="DN13" s="116">
        <v>0</v>
      </c>
      <c r="DO13" s="118">
        <v>74011</v>
      </c>
      <c r="DP13" s="116">
        <v>0</v>
      </c>
      <c r="DQ13" s="118">
        <v>74011</v>
      </c>
      <c r="DR13" s="116">
        <v>0</v>
      </c>
      <c r="DS13" s="116">
        <v>0</v>
      </c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6">
        <v>2</v>
      </c>
      <c r="EL13" s="116">
        <v>12</v>
      </c>
      <c r="EM13" s="116">
        <v>500</v>
      </c>
      <c r="EN13" s="117">
        <v>3285</v>
      </c>
      <c r="EO13" s="116">
        <v>0</v>
      </c>
      <c r="EP13" s="117">
        <v>3285</v>
      </c>
      <c r="EQ13" s="116">
        <v>0</v>
      </c>
      <c r="ER13" s="115"/>
      <c r="ES13" s="115"/>
      <c r="ET13" s="115"/>
      <c r="EU13" s="117">
        <v>1290</v>
      </c>
      <c r="EV13" s="117">
        <v>1522</v>
      </c>
      <c r="EW13" s="116">
        <v>0</v>
      </c>
      <c r="EX13" s="116">
        <v>0</v>
      </c>
      <c r="EY13" s="117">
        <v>9000</v>
      </c>
      <c r="EZ13" s="117">
        <v>9000</v>
      </c>
      <c r="FA13" s="118">
        <v>9430</v>
      </c>
      <c r="FB13" s="116">
        <v>744</v>
      </c>
      <c r="FC13" s="116">
        <v>0</v>
      </c>
      <c r="FD13" s="116">
        <v>744</v>
      </c>
      <c r="FE13" s="116">
        <v>1</v>
      </c>
      <c r="FF13" s="116">
        <v>891.86</v>
      </c>
      <c r="FG13" s="116">
        <v>0.69</v>
      </c>
      <c r="FH13" s="116">
        <v>1.52</v>
      </c>
      <c r="FI13" s="116">
        <v>1.27</v>
      </c>
      <c r="FJ13" s="116">
        <v>1.95</v>
      </c>
      <c r="FK13" s="116">
        <v>24.32</v>
      </c>
      <c r="FL13" s="118">
        <v>18989.580000000002</v>
      </c>
      <c r="FM13" s="116">
        <v>100</v>
      </c>
      <c r="FN13" s="116">
        <v>82.35</v>
      </c>
      <c r="FO13" s="116">
        <v>100</v>
      </c>
      <c r="FP13" s="116">
        <v>220.5</v>
      </c>
      <c r="FQ13" s="116">
        <v>17.64</v>
      </c>
      <c r="FR13" s="116">
        <v>19.8</v>
      </c>
      <c r="FS13" s="116">
        <v>98.05</v>
      </c>
      <c r="FT13" s="116">
        <v>100</v>
      </c>
      <c r="FU13" s="116">
        <v>19.8</v>
      </c>
      <c r="FV13" s="116">
        <v>22</v>
      </c>
      <c r="FW13" s="116">
        <v>597.72</v>
      </c>
      <c r="FX13" s="116">
        <v>9.8000000000000007</v>
      </c>
      <c r="FY13" s="116">
        <v>10.08</v>
      </c>
      <c r="FZ13" s="116">
        <v>216.2</v>
      </c>
      <c r="GA13" s="116">
        <v>100</v>
      </c>
      <c r="GB13" s="116">
        <v>100</v>
      </c>
      <c r="GC13" s="116">
        <v>24.1</v>
      </c>
      <c r="GD13" s="116">
        <v>0.39</v>
      </c>
      <c r="GE13" s="116">
        <v>74.650000000000006</v>
      </c>
      <c r="GF13" s="116">
        <v>82.35</v>
      </c>
      <c r="GG13" s="116">
        <v>35.49</v>
      </c>
      <c r="GH13" s="116">
        <v>25.92</v>
      </c>
      <c r="GI13" s="116">
        <v>7.39</v>
      </c>
      <c r="GJ13" s="116">
        <v>11.03</v>
      </c>
      <c r="GK13" s="116">
        <v>1.98</v>
      </c>
      <c r="GL13" s="116">
        <v>0</v>
      </c>
      <c r="GM13" s="116">
        <v>28.52</v>
      </c>
      <c r="GN13" s="116">
        <v>42.55</v>
      </c>
      <c r="GO13" s="116">
        <v>41.47</v>
      </c>
      <c r="GP13" s="116">
        <v>2.02</v>
      </c>
      <c r="GQ13" s="116">
        <v>0</v>
      </c>
      <c r="GR13" s="116">
        <v>52.69</v>
      </c>
      <c r="GS13" s="116">
        <v>47.3</v>
      </c>
      <c r="GT13" s="116">
        <v>0</v>
      </c>
      <c r="GU13" s="116">
        <v>99.44</v>
      </c>
      <c r="GV13" s="116">
        <v>100</v>
      </c>
      <c r="GW13" s="116">
        <v>2.25</v>
      </c>
      <c r="GX13" s="116">
        <v>98.05</v>
      </c>
      <c r="GY13" s="116">
        <v>100</v>
      </c>
      <c r="GZ13" s="116">
        <v>1.1599999999999999</v>
      </c>
      <c r="HA13" s="116">
        <v>17.64</v>
      </c>
      <c r="HB13" s="116">
        <v>14.23</v>
      </c>
      <c r="HC13" s="116">
        <v>140.6</v>
      </c>
      <c r="HD13" s="116">
        <v>82.35</v>
      </c>
      <c r="HE13" s="116">
        <v>19.8</v>
      </c>
      <c r="HF13" s="116">
        <v>157</v>
      </c>
      <c r="HG13" s="116">
        <v>100</v>
      </c>
      <c r="HH13" s="116">
        <v>96.8</v>
      </c>
      <c r="HI13" s="116">
        <v>100</v>
      </c>
      <c r="HJ13" s="116">
        <v>0.94</v>
      </c>
      <c r="HK13" s="116">
        <v>0.01</v>
      </c>
      <c r="HL13" s="116">
        <v>0.22</v>
      </c>
      <c r="HM13" s="116">
        <v>250</v>
      </c>
      <c r="HN13" s="116">
        <v>6</v>
      </c>
      <c r="HO13" s="115"/>
      <c r="HP13" s="115"/>
      <c r="HQ13" s="116">
        <v>0</v>
      </c>
      <c r="HR13" s="116">
        <v>0</v>
      </c>
      <c r="HS13" s="115"/>
      <c r="HT13" s="116">
        <v>215.83</v>
      </c>
      <c r="HU13" s="116">
        <v>254.65</v>
      </c>
      <c r="HV13" s="115"/>
      <c r="HW13" s="116">
        <v>1.04</v>
      </c>
      <c r="HX13" s="116">
        <v>0</v>
      </c>
      <c r="HY13" s="116">
        <v>100</v>
      </c>
      <c r="HZ13" s="116">
        <v>188.39</v>
      </c>
      <c r="IA13" s="116">
        <v>576.21</v>
      </c>
      <c r="IB13" s="115"/>
    </row>
    <row r="14" spans="1:237" ht="16" x14ac:dyDescent="0.2">
      <c r="A14" s="114">
        <v>351770</v>
      </c>
      <c r="B14" s="116" t="s">
        <v>379</v>
      </c>
      <c r="C14" s="116" t="s">
        <v>235</v>
      </c>
      <c r="D14" s="116">
        <v>2009</v>
      </c>
      <c r="E14" s="116">
        <v>35177011</v>
      </c>
      <c r="F14" s="116" t="s">
        <v>380</v>
      </c>
      <c r="G14" s="116" t="s">
        <v>381</v>
      </c>
      <c r="H14" s="116" t="s">
        <v>236</v>
      </c>
      <c r="I14" s="116" t="s">
        <v>237</v>
      </c>
      <c r="J14" s="116" t="s">
        <v>382</v>
      </c>
      <c r="K14" s="116">
        <v>1</v>
      </c>
      <c r="L14" s="116">
        <v>0</v>
      </c>
      <c r="M14" s="116">
        <v>0</v>
      </c>
      <c r="N14" s="116">
        <v>1</v>
      </c>
      <c r="O14" s="116">
        <v>1</v>
      </c>
      <c r="P14" s="116">
        <v>1</v>
      </c>
      <c r="Q14" s="116">
        <v>1</v>
      </c>
      <c r="R14" s="116">
        <v>1</v>
      </c>
      <c r="S14" s="116">
        <v>0</v>
      </c>
      <c r="T14" s="116">
        <v>0</v>
      </c>
      <c r="U14" s="115"/>
      <c r="V14" s="115"/>
      <c r="W14" s="116" t="s">
        <v>238</v>
      </c>
      <c r="X14" s="116" t="s">
        <v>238</v>
      </c>
      <c r="Y14" s="115"/>
      <c r="Z14" s="117">
        <v>19168</v>
      </c>
      <c r="AA14" s="117">
        <v>18472</v>
      </c>
      <c r="AB14" s="117">
        <v>19168</v>
      </c>
      <c r="AC14" s="117">
        <v>26100</v>
      </c>
      <c r="AD14" s="117">
        <v>6221</v>
      </c>
      <c r="AE14" s="117">
        <v>6172</v>
      </c>
      <c r="AF14" s="117">
        <v>6293</v>
      </c>
      <c r="AG14" s="117">
        <v>6208</v>
      </c>
      <c r="AH14" s="117">
        <v>6221</v>
      </c>
      <c r="AI14" s="117">
        <v>6172</v>
      </c>
      <c r="AJ14" s="116">
        <v>62</v>
      </c>
      <c r="AK14" s="116">
        <v>60</v>
      </c>
      <c r="AL14" s="118">
        <v>1832</v>
      </c>
      <c r="AM14" s="116">
        <v>0</v>
      </c>
      <c r="AN14" s="118">
        <v>1485</v>
      </c>
      <c r="AO14" s="118">
        <v>1485</v>
      </c>
      <c r="AP14" s="118">
        <v>1485</v>
      </c>
      <c r="AQ14" s="118">
        <v>1832</v>
      </c>
      <c r="AR14" s="117">
        <v>6221</v>
      </c>
      <c r="AS14" s="117">
        <v>6172</v>
      </c>
      <c r="AT14" s="117">
        <v>6293</v>
      </c>
      <c r="AU14" s="117">
        <v>6208</v>
      </c>
      <c r="AV14" s="118">
        <v>1832</v>
      </c>
      <c r="AW14" s="116">
        <v>0</v>
      </c>
      <c r="AX14" s="116">
        <v>0</v>
      </c>
      <c r="AY14" s="116">
        <v>0</v>
      </c>
      <c r="AZ14" s="115"/>
      <c r="BA14" s="117">
        <v>6293</v>
      </c>
      <c r="BB14" s="117">
        <v>6208</v>
      </c>
      <c r="BC14" s="117">
        <v>6221</v>
      </c>
      <c r="BD14" s="117">
        <v>6172</v>
      </c>
      <c r="BE14" s="115"/>
      <c r="BF14" s="116">
        <v>800</v>
      </c>
      <c r="BG14" s="117">
        <v>18368</v>
      </c>
      <c r="BH14" s="117">
        <v>25300</v>
      </c>
      <c r="BI14" s="118">
        <v>1832</v>
      </c>
      <c r="BJ14" s="118">
        <v>1530</v>
      </c>
      <c r="BK14" s="117">
        <v>19168</v>
      </c>
      <c r="BL14" s="117">
        <v>25300</v>
      </c>
      <c r="BM14" s="117">
        <v>5592</v>
      </c>
      <c r="BN14" s="117">
        <v>5491</v>
      </c>
      <c r="BO14" s="117">
        <v>6293</v>
      </c>
      <c r="BP14" s="117">
        <v>6208</v>
      </c>
      <c r="BQ14" s="116">
        <v>63</v>
      </c>
      <c r="BR14" s="116">
        <v>63</v>
      </c>
      <c r="BS14" s="118">
        <v>1480</v>
      </c>
      <c r="BT14" s="118">
        <v>1480</v>
      </c>
      <c r="BU14" s="116">
        <v>900</v>
      </c>
      <c r="BV14" s="117">
        <v>6293</v>
      </c>
      <c r="BW14" s="117">
        <v>6208</v>
      </c>
      <c r="BX14" s="117">
        <v>6069</v>
      </c>
      <c r="BY14" s="117">
        <v>5969</v>
      </c>
      <c r="BZ14" s="116">
        <v>0</v>
      </c>
      <c r="CA14" s="116">
        <v>0</v>
      </c>
      <c r="CB14" s="116">
        <v>0</v>
      </c>
      <c r="CC14" s="116">
        <v>0</v>
      </c>
      <c r="CD14" s="116">
        <v>0</v>
      </c>
      <c r="CE14" s="117">
        <v>19168</v>
      </c>
      <c r="CF14" s="117">
        <v>25300</v>
      </c>
      <c r="CG14" s="116">
        <v>18</v>
      </c>
      <c r="CH14" s="118">
        <v>3165433</v>
      </c>
      <c r="CI14" s="118">
        <v>1657176</v>
      </c>
      <c r="CJ14" s="118">
        <v>1508257</v>
      </c>
      <c r="CK14" s="116">
        <v>0</v>
      </c>
      <c r="CL14" s="118">
        <v>3165433</v>
      </c>
      <c r="CM14" s="118">
        <v>1675590</v>
      </c>
      <c r="CN14" s="116">
        <v>0</v>
      </c>
      <c r="CO14" s="118">
        <v>1376649</v>
      </c>
      <c r="CP14" s="118">
        <v>438790</v>
      </c>
      <c r="CQ14" s="118">
        <v>261664</v>
      </c>
      <c r="CR14" s="118">
        <v>30602</v>
      </c>
      <c r="CS14" s="118">
        <v>485773</v>
      </c>
      <c r="CT14" s="118">
        <v>176036</v>
      </c>
      <c r="CU14" s="118">
        <v>1068515</v>
      </c>
      <c r="CV14" s="118">
        <v>202089</v>
      </c>
      <c r="CW14" s="118">
        <v>1838838</v>
      </c>
      <c r="CX14" s="115"/>
      <c r="CY14" s="118">
        <v>208307</v>
      </c>
      <c r="CZ14" s="116">
        <v>0</v>
      </c>
      <c r="DA14" s="118">
        <v>114440</v>
      </c>
      <c r="DB14" s="118">
        <v>359927</v>
      </c>
      <c r="DC14" s="115"/>
      <c r="DD14" s="115"/>
      <c r="DE14" s="115"/>
      <c r="DF14" s="116">
        <v>15</v>
      </c>
      <c r="DG14" s="116">
        <v>15</v>
      </c>
      <c r="DH14" s="116">
        <v>0</v>
      </c>
      <c r="DI14" s="116">
        <v>0</v>
      </c>
      <c r="DJ14" s="115"/>
      <c r="DK14" s="115"/>
      <c r="DL14" s="115"/>
      <c r="DM14" s="115"/>
      <c r="DN14" s="118">
        <v>306958</v>
      </c>
      <c r="DO14" s="118">
        <v>202089</v>
      </c>
      <c r="DP14" s="116">
        <v>0</v>
      </c>
      <c r="DQ14" s="118">
        <v>509047</v>
      </c>
      <c r="DR14" s="116">
        <v>0</v>
      </c>
      <c r="DS14" s="116">
        <v>0</v>
      </c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6">
        <v>2</v>
      </c>
      <c r="EL14" s="116">
        <v>12</v>
      </c>
      <c r="EM14" s="116">
        <v>400</v>
      </c>
      <c r="EN14" s="117">
        <v>4400</v>
      </c>
      <c r="EO14" s="116">
        <v>2</v>
      </c>
      <c r="EP14" s="117">
        <v>4400</v>
      </c>
      <c r="EQ14" s="116">
        <v>0</v>
      </c>
      <c r="ER14" s="115"/>
      <c r="ES14" s="115"/>
      <c r="ET14" s="115"/>
      <c r="EU14" s="117">
        <v>1832</v>
      </c>
      <c r="EV14" s="117">
        <v>1832</v>
      </c>
      <c r="EW14" s="115"/>
      <c r="EX14" s="115"/>
      <c r="EY14" s="117">
        <v>5000</v>
      </c>
      <c r="EZ14" s="117">
        <v>5000</v>
      </c>
      <c r="FA14" s="116">
        <v>650</v>
      </c>
      <c r="FB14" s="116">
        <v>816</v>
      </c>
      <c r="FC14" s="116">
        <v>0</v>
      </c>
      <c r="FD14" s="116">
        <v>755</v>
      </c>
      <c r="FE14" s="116">
        <v>1.01</v>
      </c>
      <c r="FF14" s="116">
        <v>839.06</v>
      </c>
      <c r="FG14" s="116">
        <v>0.77</v>
      </c>
      <c r="FH14" s="116">
        <v>1.32</v>
      </c>
      <c r="FI14" s="116">
        <v>1.1100000000000001</v>
      </c>
      <c r="FJ14" s="116">
        <v>1.67</v>
      </c>
      <c r="FK14" s="116">
        <v>23.8</v>
      </c>
      <c r="FL14" s="118">
        <v>17444.259999999998</v>
      </c>
      <c r="FM14" s="116">
        <v>100</v>
      </c>
      <c r="FN14" s="116">
        <v>81.05</v>
      </c>
      <c r="FO14" s="116">
        <v>100</v>
      </c>
      <c r="FP14" s="116">
        <v>172.14</v>
      </c>
      <c r="FQ14" s="116">
        <v>18.940000000000001</v>
      </c>
      <c r="FR14" s="116">
        <v>19.600000000000001</v>
      </c>
      <c r="FS14" s="116">
        <v>99.66</v>
      </c>
      <c r="FT14" s="116">
        <v>100</v>
      </c>
      <c r="FU14" s="116">
        <v>19.600000000000001</v>
      </c>
      <c r="FV14" s="116">
        <v>25</v>
      </c>
      <c r="FW14" s="116">
        <v>501.6</v>
      </c>
      <c r="FX14" s="116">
        <v>9.8000000000000007</v>
      </c>
      <c r="FY14" s="116">
        <v>10.38</v>
      </c>
      <c r="FZ14" s="116">
        <v>212.2</v>
      </c>
      <c r="GA14" s="116">
        <v>99.4</v>
      </c>
      <c r="GB14" s="116">
        <v>100</v>
      </c>
      <c r="GC14" s="116">
        <v>24.2</v>
      </c>
      <c r="GD14" s="116">
        <v>0.44</v>
      </c>
      <c r="GE14" s="116">
        <v>84.89</v>
      </c>
      <c r="GF14" s="116">
        <v>81.05</v>
      </c>
      <c r="GG14" s="116">
        <v>47.06</v>
      </c>
      <c r="GH14" s="116">
        <v>33.75</v>
      </c>
      <c r="GI14" s="116">
        <v>8.26</v>
      </c>
      <c r="GJ14" s="116">
        <v>13.82</v>
      </c>
      <c r="GK14" s="116">
        <v>16.079999999999998</v>
      </c>
      <c r="GL14" s="116">
        <v>0</v>
      </c>
      <c r="GM14" s="116">
        <v>24.48</v>
      </c>
      <c r="GN14" s="116">
        <v>40.96</v>
      </c>
      <c r="GO14" s="116">
        <v>45.46</v>
      </c>
      <c r="GP14" s="116">
        <v>2.86</v>
      </c>
      <c r="GQ14" s="116">
        <v>0</v>
      </c>
      <c r="GR14" s="116">
        <v>52.35</v>
      </c>
      <c r="GS14" s="116">
        <v>47.64</v>
      </c>
      <c r="GT14" s="116">
        <v>0</v>
      </c>
      <c r="GU14" s="116">
        <v>98.85</v>
      </c>
      <c r="GV14" s="116">
        <v>100</v>
      </c>
      <c r="GW14" s="116">
        <v>2.41</v>
      </c>
      <c r="GX14" s="116">
        <v>99.66</v>
      </c>
      <c r="GY14" s="116">
        <v>100</v>
      </c>
      <c r="GZ14" s="116">
        <v>1.26</v>
      </c>
      <c r="HA14" s="116">
        <v>18.940000000000001</v>
      </c>
      <c r="HB14" s="116">
        <v>15.33</v>
      </c>
      <c r="HC14" s="116">
        <v>152.81</v>
      </c>
      <c r="HD14" s="116">
        <v>81.05</v>
      </c>
      <c r="HE14" s="116">
        <v>19.600000000000001</v>
      </c>
      <c r="HF14" s="116">
        <v>157</v>
      </c>
      <c r="HG14" s="116">
        <v>100</v>
      </c>
      <c r="HH14" s="116">
        <v>100</v>
      </c>
      <c r="HI14" s="116">
        <v>100</v>
      </c>
      <c r="HJ14" s="116">
        <v>0.83</v>
      </c>
      <c r="HK14" s="116">
        <v>0.01</v>
      </c>
      <c r="HL14" s="116">
        <v>0.31</v>
      </c>
      <c r="HM14" s="116">
        <v>200</v>
      </c>
      <c r="HN14" s="116">
        <v>6</v>
      </c>
      <c r="HO14" s="115"/>
      <c r="HP14" s="115"/>
      <c r="HQ14" s="116">
        <v>0.04</v>
      </c>
      <c r="HR14" s="116">
        <v>0</v>
      </c>
      <c r="HS14" s="115"/>
      <c r="HT14" s="116">
        <v>240.17</v>
      </c>
      <c r="HU14" s="116">
        <v>240.17</v>
      </c>
      <c r="HV14" s="115"/>
      <c r="HW14" s="116">
        <v>0.13</v>
      </c>
      <c r="HX14" s="116">
        <v>0</v>
      </c>
      <c r="HY14" s="116">
        <v>108.07</v>
      </c>
      <c r="HZ14" s="116">
        <v>86.48</v>
      </c>
      <c r="IA14" s="116">
        <v>470.79</v>
      </c>
      <c r="IB14" s="115"/>
    </row>
    <row r="15" spans="1:237" ht="16" x14ac:dyDescent="0.2">
      <c r="A15" s="114">
        <v>351770</v>
      </c>
      <c r="B15" s="116" t="s">
        <v>379</v>
      </c>
      <c r="C15" s="116" t="s">
        <v>235</v>
      </c>
      <c r="D15" s="116">
        <v>2008</v>
      </c>
      <c r="E15" s="116">
        <v>35177011</v>
      </c>
      <c r="F15" s="116" t="s">
        <v>380</v>
      </c>
      <c r="G15" s="116" t="s">
        <v>381</v>
      </c>
      <c r="H15" s="116" t="s">
        <v>236</v>
      </c>
      <c r="I15" s="116" t="s">
        <v>237</v>
      </c>
      <c r="J15" s="116" t="s">
        <v>382</v>
      </c>
      <c r="K15" s="116">
        <v>1</v>
      </c>
      <c r="L15" s="116">
        <v>0</v>
      </c>
      <c r="M15" s="116">
        <v>0</v>
      </c>
      <c r="N15" s="115"/>
      <c r="O15" s="115"/>
      <c r="P15" s="116">
        <v>1</v>
      </c>
      <c r="Q15" s="116">
        <v>1</v>
      </c>
      <c r="R15" s="116">
        <v>1</v>
      </c>
      <c r="S15" s="116">
        <v>0</v>
      </c>
      <c r="T15" s="116">
        <v>0</v>
      </c>
      <c r="U15" s="115"/>
      <c r="V15" s="115"/>
      <c r="W15" s="116" t="s">
        <v>239</v>
      </c>
      <c r="X15" s="116" t="s">
        <v>239</v>
      </c>
      <c r="Y15" s="115"/>
      <c r="Z15" s="117">
        <v>19160</v>
      </c>
      <c r="AA15" s="117">
        <v>18464</v>
      </c>
      <c r="AB15" s="117">
        <v>26100</v>
      </c>
      <c r="AC15" s="117">
        <v>26100</v>
      </c>
      <c r="AD15" s="117">
        <v>6172</v>
      </c>
      <c r="AE15" s="117">
        <v>6129</v>
      </c>
      <c r="AF15" s="117">
        <v>6208</v>
      </c>
      <c r="AG15" s="117">
        <v>6310</v>
      </c>
      <c r="AH15" s="117">
        <v>6172</v>
      </c>
      <c r="AI15" s="117">
        <v>6129</v>
      </c>
      <c r="AJ15" s="116">
        <v>60</v>
      </c>
      <c r="AK15" s="116">
        <v>59</v>
      </c>
      <c r="AL15" s="118">
        <v>1831.92</v>
      </c>
      <c r="AM15" s="116">
        <v>0</v>
      </c>
      <c r="AN15" s="118">
        <v>1494.87</v>
      </c>
      <c r="AO15" s="118">
        <v>1494.87</v>
      </c>
      <c r="AP15" s="118">
        <v>1494.53</v>
      </c>
      <c r="AQ15" s="118">
        <v>1831.92</v>
      </c>
      <c r="AR15" s="117">
        <v>6172</v>
      </c>
      <c r="AS15" s="117">
        <v>5799</v>
      </c>
      <c r="AT15" s="117">
        <v>6208</v>
      </c>
      <c r="AU15" s="117">
        <v>6310</v>
      </c>
      <c r="AV15" s="118">
        <v>1831.92</v>
      </c>
      <c r="AW15" s="116">
        <v>0</v>
      </c>
      <c r="AX15" s="116">
        <v>0</v>
      </c>
      <c r="AY15" s="116">
        <v>0</v>
      </c>
      <c r="AZ15" s="115"/>
      <c r="BA15" s="117">
        <v>6208</v>
      </c>
      <c r="BB15" s="117">
        <v>6310</v>
      </c>
      <c r="BC15" s="117">
        <v>6172</v>
      </c>
      <c r="BD15" s="117">
        <v>5799</v>
      </c>
      <c r="BE15" s="115"/>
      <c r="BF15" s="116">
        <v>800</v>
      </c>
      <c r="BG15" s="117">
        <v>25300</v>
      </c>
      <c r="BH15" s="117">
        <v>25300</v>
      </c>
      <c r="BI15" s="118">
        <v>1831.92</v>
      </c>
      <c r="BJ15" s="118">
        <v>1520</v>
      </c>
      <c r="BK15" s="117">
        <v>25300</v>
      </c>
      <c r="BL15" s="117">
        <v>25300</v>
      </c>
      <c r="BM15" s="117">
        <v>5491</v>
      </c>
      <c r="BN15" s="117">
        <v>5479</v>
      </c>
      <c r="BO15" s="117">
        <v>6208</v>
      </c>
      <c r="BP15" s="117">
        <v>6210</v>
      </c>
      <c r="BQ15" s="116">
        <v>63</v>
      </c>
      <c r="BR15" s="116">
        <v>62</v>
      </c>
      <c r="BS15" s="118">
        <v>1450</v>
      </c>
      <c r="BT15" s="118">
        <v>1450</v>
      </c>
      <c r="BU15" s="116">
        <v>850</v>
      </c>
      <c r="BV15" s="117">
        <v>6208</v>
      </c>
      <c r="BW15" s="117">
        <v>6210</v>
      </c>
      <c r="BX15" s="117">
        <v>5969</v>
      </c>
      <c r="BY15" s="117">
        <v>5881</v>
      </c>
      <c r="BZ15" s="116">
        <v>0</v>
      </c>
      <c r="CA15" s="116">
        <v>0</v>
      </c>
      <c r="CB15" s="116">
        <v>0</v>
      </c>
      <c r="CC15" s="115"/>
      <c r="CD15" s="116">
        <v>0</v>
      </c>
      <c r="CE15" s="117">
        <v>25300</v>
      </c>
      <c r="CF15" s="117">
        <v>25300</v>
      </c>
      <c r="CG15" s="116">
        <v>17.2</v>
      </c>
      <c r="CH15" s="118">
        <v>2861588.61</v>
      </c>
      <c r="CI15" s="118">
        <v>1502131.26</v>
      </c>
      <c r="CJ15" s="118">
        <v>1359457.35</v>
      </c>
      <c r="CK15" s="116">
        <v>0</v>
      </c>
      <c r="CL15" s="118">
        <v>2861588.61</v>
      </c>
      <c r="CM15" s="118">
        <v>1977280.15</v>
      </c>
      <c r="CN15" s="116">
        <v>0</v>
      </c>
      <c r="CO15" s="118">
        <v>438790</v>
      </c>
      <c r="CP15" s="118">
        <v>710275.85</v>
      </c>
      <c r="CQ15" s="118">
        <v>240058</v>
      </c>
      <c r="CR15" s="118">
        <v>33386.19</v>
      </c>
      <c r="CS15" s="118">
        <v>454406.01</v>
      </c>
      <c r="CT15" s="118">
        <v>104904.58</v>
      </c>
      <c r="CU15" s="118">
        <v>942926.98</v>
      </c>
      <c r="CV15" s="118">
        <v>45734.23</v>
      </c>
      <c r="CW15" s="118">
        <v>1318521.18</v>
      </c>
      <c r="CX15" s="116">
        <v>0</v>
      </c>
      <c r="CY15" s="118">
        <v>86830.32</v>
      </c>
      <c r="CZ15" s="116">
        <v>0</v>
      </c>
      <c r="DA15" s="118">
        <v>110172.2</v>
      </c>
      <c r="DB15" s="118">
        <v>243029.65</v>
      </c>
      <c r="DC15" s="116">
        <v>0</v>
      </c>
      <c r="DD15" s="116">
        <v>0</v>
      </c>
      <c r="DE15" s="116">
        <v>0</v>
      </c>
      <c r="DF15" s="116">
        <v>15</v>
      </c>
      <c r="DG15" s="116">
        <v>15</v>
      </c>
      <c r="DH15" s="116">
        <v>0</v>
      </c>
      <c r="DI15" s="116">
        <v>0</v>
      </c>
      <c r="DJ15" s="116">
        <v>0</v>
      </c>
      <c r="DK15" s="116">
        <v>0</v>
      </c>
      <c r="DL15" s="116">
        <v>0</v>
      </c>
      <c r="DM15" s="116">
        <v>0</v>
      </c>
      <c r="DN15" s="118">
        <v>266175.99</v>
      </c>
      <c r="DO15" s="118">
        <v>45734.23</v>
      </c>
      <c r="DP15" s="116">
        <v>0</v>
      </c>
      <c r="DQ15" s="115"/>
      <c r="DR15" s="116">
        <v>0</v>
      </c>
      <c r="DS15" s="116">
        <v>0</v>
      </c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6" t="s">
        <v>240</v>
      </c>
      <c r="EK15" s="116">
        <v>2</v>
      </c>
      <c r="EL15" s="116">
        <v>12</v>
      </c>
      <c r="EM15" s="116">
        <v>370</v>
      </c>
      <c r="EN15" s="117">
        <v>4392</v>
      </c>
      <c r="EO15" s="116">
        <v>8</v>
      </c>
      <c r="EP15" s="117">
        <v>4392</v>
      </c>
      <c r="EQ15" s="116">
        <v>0</v>
      </c>
      <c r="ER15" s="115"/>
      <c r="ES15" s="115"/>
      <c r="ET15" s="116">
        <v>0</v>
      </c>
      <c r="EU15" s="117">
        <v>1704</v>
      </c>
      <c r="EV15" s="117">
        <v>1704</v>
      </c>
      <c r="EW15" s="116">
        <v>0</v>
      </c>
      <c r="EX15" s="116">
        <v>0</v>
      </c>
      <c r="EY15" s="117">
        <v>5100</v>
      </c>
      <c r="EZ15" s="117">
        <v>5100</v>
      </c>
      <c r="FA15" s="116">
        <v>700</v>
      </c>
      <c r="FB15" s="116">
        <v>792</v>
      </c>
      <c r="FC15" s="116">
        <v>0</v>
      </c>
      <c r="FD15" s="116">
        <v>756</v>
      </c>
      <c r="FE15" s="116">
        <v>1.01</v>
      </c>
      <c r="FF15" s="116">
        <v>831.2</v>
      </c>
      <c r="FG15" s="116">
        <v>0.56000000000000005</v>
      </c>
      <c r="FH15" s="116">
        <v>1.22</v>
      </c>
      <c r="FI15" s="116">
        <v>1</v>
      </c>
      <c r="FJ15" s="116">
        <v>1.59</v>
      </c>
      <c r="FK15" s="116">
        <v>26.16</v>
      </c>
      <c r="FL15" s="118">
        <v>16003.86</v>
      </c>
      <c r="FM15" s="116">
        <v>100</v>
      </c>
      <c r="FN15" s="116">
        <v>81.599999999999994</v>
      </c>
      <c r="FO15" s="116">
        <v>100</v>
      </c>
      <c r="FP15" s="116">
        <v>217.03</v>
      </c>
      <c r="FQ15" s="116">
        <v>18.41</v>
      </c>
      <c r="FR15" s="116">
        <v>19.899999999999999</v>
      </c>
      <c r="FS15" s="116">
        <v>96.99</v>
      </c>
      <c r="FT15" s="116">
        <v>100</v>
      </c>
      <c r="FU15" s="116">
        <v>19.899999999999999</v>
      </c>
      <c r="FV15" s="116">
        <v>22</v>
      </c>
      <c r="FW15" s="116">
        <v>578.41999999999996</v>
      </c>
      <c r="FX15" s="116">
        <v>9.5</v>
      </c>
      <c r="FY15" s="116">
        <v>10.54</v>
      </c>
      <c r="FZ15" s="116">
        <v>156.9</v>
      </c>
      <c r="GA15" s="116">
        <v>100</v>
      </c>
      <c r="GB15" s="116">
        <v>100</v>
      </c>
      <c r="GC15" s="116">
        <v>24.4</v>
      </c>
      <c r="GD15" s="116">
        <v>0.4</v>
      </c>
      <c r="GE15" s="116">
        <v>75.62</v>
      </c>
      <c r="GF15" s="116">
        <v>81.58</v>
      </c>
      <c r="GG15" s="116">
        <v>30.9</v>
      </c>
      <c r="GH15" s="116">
        <v>32.950000000000003</v>
      </c>
      <c r="GI15" s="116">
        <v>8.3800000000000008</v>
      </c>
      <c r="GJ15" s="116">
        <v>12.05</v>
      </c>
      <c r="GK15" s="116">
        <v>10.89</v>
      </c>
      <c r="GL15" s="116">
        <v>0</v>
      </c>
      <c r="GM15" s="116">
        <v>25.45</v>
      </c>
      <c r="GN15" s="116">
        <v>36.58</v>
      </c>
      <c r="GO15" s="116">
        <v>48.19</v>
      </c>
      <c r="GP15" s="116">
        <v>3.54</v>
      </c>
      <c r="GQ15" s="116">
        <v>0</v>
      </c>
      <c r="GR15" s="116">
        <v>52.49</v>
      </c>
      <c r="GS15" s="116">
        <v>47.5</v>
      </c>
      <c r="GT15" s="116">
        <v>0</v>
      </c>
      <c r="GU15" s="116">
        <v>95.63</v>
      </c>
      <c r="GV15" s="116">
        <v>100</v>
      </c>
      <c r="GW15" s="116">
        <v>2.4300000000000002</v>
      </c>
      <c r="GX15" s="116">
        <v>96.99</v>
      </c>
      <c r="GY15" s="116">
        <v>100</v>
      </c>
      <c r="GZ15" s="116">
        <v>1.28</v>
      </c>
      <c r="HA15" s="116">
        <v>18.39</v>
      </c>
      <c r="HB15" s="116">
        <v>15.51</v>
      </c>
      <c r="HC15" s="116">
        <v>150.13</v>
      </c>
      <c r="HD15" s="116">
        <v>81.599999999999994</v>
      </c>
      <c r="HE15" s="116">
        <v>19.899999999999999</v>
      </c>
      <c r="HF15" s="116">
        <v>55</v>
      </c>
      <c r="HG15" s="116">
        <v>100</v>
      </c>
      <c r="HH15" s="116">
        <v>100</v>
      </c>
      <c r="HI15" s="116">
        <v>100</v>
      </c>
      <c r="HJ15" s="116">
        <v>0.82</v>
      </c>
      <c r="HK15" s="116">
        <v>0.01</v>
      </c>
      <c r="HL15" s="116">
        <v>0.28999999999999998</v>
      </c>
      <c r="HM15" s="116">
        <v>185</v>
      </c>
      <c r="HN15" s="116">
        <v>6</v>
      </c>
      <c r="HO15" s="115"/>
      <c r="HP15" s="115"/>
      <c r="HQ15" s="116">
        <v>0.18</v>
      </c>
      <c r="HR15" s="116">
        <v>0</v>
      </c>
      <c r="HS15" s="115"/>
      <c r="HT15" s="116">
        <v>257.74</v>
      </c>
      <c r="HU15" s="116">
        <v>257.74</v>
      </c>
      <c r="HV15" s="115"/>
      <c r="HW15" s="116">
        <v>0.13</v>
      </c>
      <c r="HX15" s="116">
        <v>0</v>
      </c>
      <c r="HY15" s="116">
        <v>104.76</v>
      </c>
      <c r="HZ15" s="116">
        <v>132</v>
      </c>
      <c r="IA15" s="116">
        <v>539.79999999999995</v>
      </c>
      <c r="IB15" s="115"/>
    </row>
    <row r="16" spans="1:237" ht="16" x14ac:dyDescent="0.2">
      <c r="A16" s="114">
        <v>351770</v>
      </c>
      <c r="B16" s="116" t="s">
        <v>379</v>
      </c>
      <c r="C16" s="116" t="s">
        <v>235</v>
      </c>
      <c r="D16" s="116">
        <v>2007</v>
      </c>
      <c r="E16" s="116">
        <v>35177011</v>
      </c>
      <c r="F16" s="116" t="s">
        <v>380</v>
      </c>
      <c r="G16" s="116" t="s">
        <v>381</v>
      </c>
      <c r="H16" s="116" t="s">
        <v>236</v>
      </c>
      <c r="I16" s="116" t="s">
        <v>237</v>
      </c>
      <c r="J16" s="116" t="s">
        <v>382</v>
      </c>
      <c r="K16" s="116">
        <v>1</v>
      </c>
      <c r="L16" s="116">
        <v>0</v>
      </c>
      <c r="M16" s="116">
        <v>0</v>
      </c>
      <c r="N16" s="115"/>
      <c r="O16" s="115"/>
      <c r="P16" s="116">
        <v>1</v>
      </c>
      <c r="Q16" s="116">
        <v>1</v>
      </c>
      <c r="R16" s="116">
        <v>1</v>
      </c>
      <c r="S16" s="116">
        <v>0</v>
      </c>
      <c r="T16" s="116">
        <v>0</v>
      </c>
      <c r="U16" s="115"/>
      <c r="V16" s="115"/>
      <c r="W16" s="116" t="s">
        <v>239</v>
      </c>
      <c r="X16" s="116" t="s">
        <v>239</v>
      </c>
      <c r="Y16" s="115"/>
      <c r="Z16" s="117">
        <v>18611</v>
      </c>
      <c r="AA16" s="117">
        <v>17935</v>
      </c>
      <c r="AB16" s="117">
        <v>26100</v>
      </c>
      <c r="AC16" s="117">
        <v>25800</v>
      </c>
      <c r="AD16" s="117">
        <v>6129</v>
      </c>
      <c r="AE16" s="117">
        <v>6025</v>
      </c>
      <c r="AF16" s="117">
        <v>6310</v>
      </c>
      <c r="AG16" s="117">
        <v>6272</v>
      </c>
      <c r="AH16" s="117">
        <v>6129</v>
      </c>
      <c r="AI16" s="117">
        <v>6025</v>
      </c>
      <c r="AJ16" s="116">
        <v>59</v>
      </c>
      <c r="AK16" s="116">
        <v>58</v>
      </c>
      <c r="AL16" s="118">
        <v>1784.2</v>
      </c>
      <c r="AM16" s="116">
        <v>0</v>
      </c>
      <c r="AN16" s="118">
        <v>1338.1</v>
      </c>
      <c r="AO16" s="118">
        <v>1338.1</v>
      </c>
      <c r="AP16" s="118">
        <v>1466.3</v>
      </c>
      <c r="AQ16" s="118">
        <v>1784.2</v>
      </c>
      <c r="AR16" s="117">
        <v>5799</v>
      </c>
      <c r="AS16" s="117">
        <v>5788</v>
      </c>
      <c r="AT16" s="117">
        <v>6310</v>
      </c>
      <c r="AU16" s="117">
        <v>6272</v>
      </c>
      <c r="AV16" s="118">
        <v>1784.2</v>
      </c>
      <c r="AW16" s="116">
        <v>0</v>
      </c>
      <c r="AX16" s="116">
        <v>0</v>
      </c>
      <c r="AY16" s="116">
        <v>0</v>
      </c>
      <c r="AZ16" s="115"/>
      <c r="BA16" s="117">
        <v>6310</v>
      </c>
      <c r="BB16" s="117">
        <v>6272</v>
      </c>
      <c r="BC16" s="117">
        <v>5799</v>
      </c>
      <c r="BD16" s="117">
        <v>5788</v>
      </c>
      <c r="BE16" s="115"/>
      <c r="BF16" s="116">
        <v>800</v>
      </c>
      <c r="BG16" s="117">
        <v>25300</v>
      </c>
      <c r="BH16" s="117">
        <v>25000</v>
      </c>
      <c r="BI16" s="118">
        <v>1784.2</v>
      </c>
      <c r="BJ16" s="118">
        <v>1468.2</v>
      </c>
      <c r="BK16" s="117">
        <v>25300</v>
      </c>
      <c r="BL16" s="117">
        <v>25000</v>
      </c>
      <c r="BM16" s="117">
        <v>5479</v>
      </c>
      <c r="BN16" s="117">
        <v>3025</v>
      </c>
      <c r="BO16" s="117">
        <v>6210</v>
      </c>
      <c r="BP16" s="117">
        <v>6025</v>
      </c>
      <c r="BQ16" s="116">
        <v>62</v>
      </c>
      <c r="BR16" s="116">
        <v>62</v>
      </c>
      <c r="BS16" s="118">
        <v>1410</v>
      </c>
      <c r="BT16" s="118">
        <v>1410</v>
      </c>
      <c r="BU16" s="116">
        <v>810</v>
      </c>
      <c r="BV16" s="117">
        <v>6210</v>
      </c>
      <c r="BW16" s="117">
        <v>5990</v>
      </c>
      <c r="BX16" s="117">
        <v>5881</v>
      </c>
      <c r="BY16" s="117">
        <v>5840</v>
      </c>
      <c r="BZ16" s="116">
        <v>0</v>
      </c>
      <c r="CA16" s="116">
        <v>0</v>
      </c>
      <c r="CB16" s="116">
        <v>0</v>
      </c>
      <c r="CC16" s="115"/>
      <c r="CD16" s="116">
        <v>0</v>
      </c>
      <c r="CE16" s="117">
        <v>25300</v>
      </c>
      <c r="CF16" s="117">
        <v>25000</v>
      </c>
      <c r="CG16" s="116">
        <v>17.2</v>
      </c>
      <c r="CH16" s="118">
        <v>2440380.0499999998</v>
      </c>
      <c r="CI16" s="118">
        <v>1447432.02</v>
      </c>
      <c r="CJ16" s="118">
        <v>992948.03</v>
      </c>
      <c r="CK16" s="118">
        <v>103230.64</v>
      </c>
      <c r="CL16" s="118">
        <v>2543610.69</v>
      </c>
      <c r="CM16" s="118">
        <v>3022010</v>
      </c>
      <c r="CN16" s="116">
        <v>0</v>
      </c>
      <c r="CO16" s="118">
        <v>710275.85</v>
      </c>
      <c r="CP16" s="116">
        <v>0</v>
      </c>
      <c r="CQ16" s="118">
        <v>448190.56</v>
      </c>
      <c r="CR16" s="118">
        <v>37000</v>
      </c>
      <c r="CS16" s="118">
        <v>461482.15</v>
      </c>
      <c r="CT16" s="118">
        <v>320661.95</v>
      </c>
      <c r="CU16" s="118">
        <v>1445241.28</v>
      </c>
      <c r="CV16" s="118">
        <v>36402.25</v>
      </c>
      <c r="CW16" s="118">
        <v>1731991.04</v>
      </c>
      <c r="CX16" s="116">
        <v>0</v>
      </c>
      <c r="CY16" s="118">
        <v>52330.26</v>
      </c>
      <c r="CZ16" s="116">
        <v>0</v>
      </c>
      <c r="DA16" s="118">
        <v>95544.08</v>
      </c>
      <c r="DB16" s="116">
        <v>0</v>
      </c>
      <c r="DC16" s="116">
        <v>0</v>
      </c>
      <c r="DD16" s="118">
        <v>1139271.24</v>
      </c>
      <c r="DE16" s="116">
        <v>0</v>
      </c>
      <c r="DF16" s="116">
        <v>15</v>
      </c>
      <c r="DG16" s="116">
        <v>15</v>
      </c>
      <c r="DH16" s="118">
        <v>82362.539999999994</v>
      </c>
      <c r="DI16" s="118">
        <v>198017.25</v>
      </c>
      <c r="DJ16" s="118">
        <v>1139271.24</v>
      </c>
      <c r="DK16" s="116">
        <v>0</v>
      </c>
      <c r="DL16" s="116">
        <v>0</v>
      </c>
      <c r="DM16" s="118">
        <v>1139271.24</v>
      </c>
      <c r="DN16" s="116">
        <v>0</v>
      </c>
      <c r="DO16" s="118">
        <v>36402.25</v>
      </c>
      <c r="DP16" s="116">
        <v>0</v>
      </c>
      <c r="DQ16" s="115"/>
      <c r="DR16" s="116">
        <v>0</v>
      </c>
      <c r="DS16" s="116">
        <v>0</v>
      </c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6" t="s">
        <v>240</v>
      </c>
      <c r="EK16" s="116">
        <v>0</v>
      </c>
      <c r="EL16" s="116">
        <v>0</v>
      </c>
      <c r="EM16" s="116">
        <v>0</v>
      </c>
      <c r="EN16" s="117">
        <v>4380</v>
      </c>
      <c r="EO16" s="116">
        <v>0</v>
      </c>
      <c r="EP16" s="117">
        <v>1527</v>
      </c>
      <c r="EQ16" s="116">
        <v>0</v>
      </c>
      <c r="ER16" s="116">
        <v>0</v>
      </c>
      <c r="ES16" s="116">
        <v>0</v>
      </c>
      <c r="ET16" s="116">
        <v>0</v>
      </c>
      <c r="EU16" s="117">
        <v>1527</v>
      </c>
      <c r="EV16" s="117">
        <v>1460</v>
      </c>
      <c r="EW16" s="116">
        <v>0</v>
      </c>
      <c r="EX16" s="116">
        <v>0</v>
      </c>
      <c r="EY16" s="117">
        <v>4680</v>
      </c>
      <c r="EZ16" s="117">
        <v>4710</v>
      </c>
      <c r="FA16" s="116">
        <v>621</v>
      </c>
      <c r="FB16" s="116">
        <v>792</v>
      </c>
      <c r="FC16" s="116">
        <v>0</v>
      </c>
      <c r="FD16" s="116">
        <v>792</v>
      </c>
      <c r="FE16" s="116">
        <v>1.03</v>
      </c>
      <c r="FF16" s="116">
        <v>827.23</v>
      </c>
      <c r="FG16" s="116">
        <v>0.76</v>
      </c>
      <c r="FH16" s="116">
        <v>1.07</v>
      </c>
      <c r="FI16" s="116">
        <v>0.98</v>
      </c>
      <c r="FJ16" s="116">
        <v>1.22</v>
      </c>
      <c r="FK16" s="116">
        <v>44.39</v>
      </c>
      <c r="FL16" s="118">
        <v>29879.37</v>
      </c>
      <c r="FM16" s="116">
        <v>100</v>
      </c>
      <c r="FN16" s="116">
        <v>74.989999999999995</v>
      </c>
      <c r="FO16" s="116">
        <v>100</v>
      </c>
      <c r="FP16" s="116">
        <v>140.9</v>
      </c>
      <c r="FQ16" s="116">
        <v>17.809999999999999</v>
      </c>
      <c r="FR16" s="116">
        <v>17.7</v>
      </c>
      <c r="FS16" s="116">
        <v>105.37</v>
      </c>
      <c r="FT16" s="116">
        <v>100</v>
      </c>
      <c r="FU16" s="116">
        <v>19.399999999999999</v>
      </c>
      <c r="FV16" s="116">
        <v>26</v>
      </c>
      <c r="FW16" s="116">
        <v>482.22</v>
      </c>
      <c r="FX16" s="116">
        <v>9.3000000000000007</v>
      </c>
      <c r="FY16" s="116">
        <v>10.6</v>
      </c>
      <c r="FZ16" s="116">
        <v>141.30000000000001</v>
      </c>
      <c r="GA16" s="116">
        <v>100</v>
      </c>
      <c r="GB16" s="116">
        <v>100</v>
      </c>
      <c r="GC16" s="116">
        <v>23.6</v>
      </c>
      <c r="GD16" s="116">
        <v>0.63</v>
      </c>
      <c r="GE16" s="116">
        <v>116.47</v>
      </c>
      <c r="GF16" s="116">
        <v>82.18</v>
      </c>
      <c r="GG16" s="116">
        <v>-18.8</v>
      </c>
      <c r="GH16" s="116">
        <v>59.22</v>
      </c>
      <c r="GI16" s="116">
        <v>18.36</v>
      </c>
      <c r="GJ16" s="116">
        <v>31.5</v>
      </c>
      <c r="GK16" s="116">
        <v>1.49</v>
      </c>
      <c r="GL16" s="116">
        <v>3.37</v>
      </c>
      <c r="GM16" s="116">
        <v>31.01</v>
      </c>
      <c r="GN16" s="116">
        <v>53.19</v>
      </c>
      <c r="GO16" s="116">
        <v>31.93</v>
      </c>
      <c r="GP16" s="116">
        <v>2.56</v>
      </c>
      <c r="GQ16" s="116">
        <v>5.69</v>
      </c>
      <c r="GR16" s="116">
        <v>56.9</v>
      </c>
      <c r="GS16" s="116">
        <v>39.03</v>
      </c>
      <c r="GT16" s="116">
        <v>4.05</v>
      </c>
      <c r="GU16" s="116">
        <v>92.09</v>
      </c>
      <c r="GV16" s="116">
        <v>100</v>
      </c>
      <c r="GW16" s="116">
        <v>2.46</v>
      </c>
      <c r="GX16" s="116">
        <v>105.37</v>
      </c>
      <c r="GY16" s="116">
        <v>100</v>
      </c>
      <c r="GZ16" s="116">
        <v>1.45</v>
      </c>
      <c r="HA16" s="116">
        <v>25</v>
      </c>
      <c r="HB16" s="116">
        <v>20.89</v>
      </c>
      <c r="HC16" s="116">
        <v>201.11</v>
      </c>
      <c r="HD16" s="116">
        <v>74.989999999999995</v>
      </c>
      <c r="HE16" s="116">
        <v>17.7</v>
      </c>
      <c r="HF16" s="116">
        <v>105</v>
      </c>
      <c r="HG16" s="116">
        <v>100</v>
      </c>
      <c r="HH16" s="116">
        <v>100</v>
      </c>
      <c r="HI16" s="115"/>
      <c r="HJ16" s="115"/>
      <c r="HK16" s="115"/>
      <c r="HL16" s="115"/>
      <c r="HM16" s="116">
        <v>100</v>
      </c>
      <c r="HN16" s="116">
        <v>100</v>
      </c>
      <c r="HO16" s="116">
        <v>1</v>
      </c>
      <c r="HP16" s="116">
        <v>0.01</v>
      </c>
      <c r="HQ16" s="116">
        <v>0.31</v>
      </c>
      <c r="HR16" s="116">
        <v>203.96</v>
      </c>
      <c r="HS16" s="116">
        <v>401.4</v>
      </c>
      <c r="HT16" s="115"/>
      <c r="HU16" s="115"/>
      <c r="HV16" s="115"/>
      <c r="HW16" s="115"/>
      <c r="HX16" s="115"/>
      <c r="HY16" s="115"/>
      <c r="HZ16" s="115"/>
      <c r="IA16" s="115"/>
      <c r="IB16" s="115"/>
    </row>
    <row r="17" spans="1:236" ht="16" x14ac:dyDescent="0.2">
      <c r="A17" s="114">
        <v>351770</v>
      </c>
      <c r="B17" s="116" t="s">
        <v>379</v>
      </c>
      <c r="C17" s="116" t="s">
        <v>235</v>
      </c>
      <c r="D17" s="116">
        <v>2006</v>
      </c>
      <c r="E17" s="116">
        <v>35177011</v>
      </c>
      <c r="F17" s="116" t="s">
        <v>380</v>
      </c>
      <c r="G17" s="116" t="s">
        <v>381</v>
      </c>
      <c r="H17" s="116" t="s">
        <v>236</v>
      </c>
      <c r="I17" s="116" t="s">
        <v>237</v>
      </c>
      <c r="J17" s="116" t="s">
        <v>382</v>
      </c>
      <c r="K17" s="116">
        <v>1</v>
      </c>
      <c r="L17" s="116">
        <v>0</v>
      </c>
      <c r="M17" s="116">
        <v>0</v>
      </c>
      <c r="N17" s="115"/>
      <c r="O17" s="115"/>
      <c r="P17" s="116">
        <v>1</v>
      </c>
      <c r="Q17" s="116">
        <v>1</v>
      </c>
      <c r="R17" s="116">
        <v>1</v>
      </c>
      <c r="S17" s="116">
        <v>0</v>
      </c>
      <c r="T17" s="116">
        <v>0</v>
      </c>
      <c r="U17" s="115"/>
      <c r="V17" s="115"/>
      <c r="W17" s="116" t="s">
        <v>238</v>
      </c>
      <c r="X17" s="116" t="s">
        <v>238</v>
      </c>
      <c r="Y17" s="115"/>
      <c r="Z17" s="117">
        <v>20804</v>
      </c>
      <c r="AA17" s="117">
        <v>19751</v>
      </c>
      <c r="AB17" s="117">
        <v>25800</v>
      </c>
      <c r="AC17" s="117">
        <v>21100</v>
      </c>
      <c r="AD17" s="117">
        <v>6025</v>
      </c>
      <c r="AE17" s="117">
        <v>5935</v>
      </c>
      <c r="AF17" s="117">
        <v>6272</v>
      </c>
      <c r="AG17" s="117">
        <v>6264</v>
      </c>
      <c r="AH17" s="117">
        <v>6025</v>
      </c>
      <c r="AI17" s="117">
        <v>5915</v>
      </c>
      <c r="AJ17" s="116">
        <v>58</v>
      </c>
      <c r="AK17" s="116">
        <v>56</v>
      </c>
      <c r="AL17" s="118">
        <v>1763.4</v>
      </c>
      <c r="AM17" s="116">
        <v>0</v>
      </c>
      <c r="AN17" s="115"/>
      <c r="AO17" s="118">
        <v>1410.7</v>
      </c>
      <c r="AP17" s="118">
        <v>1466.6</v>
      </c>
      <c r="AQ17" s="118">
        <v>1763.4</v>
      </c>
      <c r="AR17" s="117">
        <v>5788</v>
      </c>
      <c r="AS17" s="117">
        <v>6243</v>
      </c>
      <c r="AT17" s="117">
        <v>6272</v>
      </c>
      <c r="AU17" s="117">
        <v>5935</v>
      </c>
      <c r="AV17" s="118">
        <v>1763.4</v>
      </c>
      <c r="AW17" s="116">
        <v>0</v>
      </c>
      <c r="AX17" s="116">
        <v>0</v>
      </c>
      <c r="AY17" s="116">
        <v>0</v>
      </c>
      <c r="AZ17" s="115"/>
      <c r="BA17" s="117">
        <v>6272</v>
      </c>
      <c r="BB17" s="117">
        <v>6243</v>
      </c>
      <c r="BC17" s="117">
        <v>5788</v>
      </c>
      <c r="BD17" s="117">
        <v>5625</v>
      </c>
      <c r="BE17" s="116">
        <v>0</v>
      </c>
      <c r="BF17" s="116">
        <v>800</v>
      </c>
      <c r="BG17" s="117">
        <v>25000</v>
      </c>
      <c r="BH17" s="117">
        <v>20300</v>
      </c>
      <c r="BI17" s="118">
        <v>1763.4</v>
      </c>
      <c r="BJ17" s="118">
        <v>1204</v>
      </c>
      <c r="BK17" s="117">
        <v>25000</v>
      </c>
      <c r="BL17" s="117">
        <v>21100</v>
      </c>
      <c r="BM17" s="117">
        <v>3025</v>
      </c>
      <c r="BN17" s="117">
        <v>5653</v>
      </c>
      <c r="BO17" s="117">
        <v>6025</v>
      </c>
      <c r="BP17" s="117">
        <v>5747</v>
      </c>
      <c r="BQ17" s="116">
        <v>62</v>
      </c>
      <c r="BR17" s="116">
        <v>61</v>
      </c>
      <c r="BS17" s="118">
        <v>1395</v>
      </c>
      <c r="BT17" s="116">
        <v>0</v>
      </c>
      <c r="BU17" s="116">
        <v>796</v>
      </c>
      <c r="BV17" s="117">
        <v>5990</v>
      </c>
      <c r="BW17" s="117">
        <v>5653</v>
      </c>
      <c r="BX17" s="117">
        <v>5840</v>
      </c>
      <c r="BY17" s="117">
        <v>5699</v>
      </c>
      <c r="BZ17" s="115"/>
      <c r="CA17" s="115"/>
      <c r="CB17" s="115"/>
      <c r="CC17" s="115"/>
      <c r="CD17" s="116">
        <v>0</v>
      </c>
      <c r="CE17" s="117">
        <v>25000</v>
      </c>
      <c r="CF17" s="117">
        <v>21100</v>
      </c>
      <c r="CG17" s="116">
        <v>16.3</v>
      </c>
      <c r="CH17" s="118">
        <v>2199832.4</v>
      </c>
      <c r="CI17" s="118">
        <v>1408960.75</v>
      </c>
      <c r="CJ17" s="118">
        <v>790871.65</v>
      </c>
      <c r="CK17" s="118">
        <v>116669.98</v>
      </c>
      <c r="CL17" s="118">
        <v>2316502.38</v>
      </c>
      <c r="CM17" s="118">
        <v>1149904.42</v>
      </c>
      <c r="CN17" s="116">
        <v>0</v>
      </c>
      <c r="CO17" s="116">
        <v>0</v>
      </c>
      <c r="CP17" s="118">
        <v>803338.2</v>
      </c>
      <c r="CQ17" s="118">
        <v>368221.59</v>
      </c>
      <c r="CR17" s="118">
        <v>36000</v>
      </c>
      <c r="CS17" s="118">
        <v>355235.35</v>
      </c>
      <c r="CT17" s="118">
        <v>614555.79</v>
      </c>
      <c r="CU17" s="118">
        <v>1384012.7</v>
      </c>
      <c r="CV17" s="118">
        <v>18837.93</v>
      </c>
      <c r="CW17" s="118">
        <v>1417145.41</v>
      </c>
      <c r="CX17" s="116">
        <v>0</v>
      </c>
      <c r="CY17" s="118">
        <v>14294.78</v>
      </c>
      <c r="CZ17" s="116">
        <v>0</v>
      </c>
      <c r="DA17" s="116">
        <v>0</v>
      </c>
      <c r="DB17" s="116">
        <v>0</v>
      </c>
      <c r="DC17" s="115"/>
      <c r="DD17" s="115"/>
      <c r="DE17" s="115"/>
      <c r="DF17" s="116">
        <v>15</v>
      </c>
      <c r="DG17" s="116">
        <v>17</v>
      </c>
      <c r="DH17" s="118">
        <v>9999.9599999999991</v>
      </c>
      <c r="DI17" s="116">
        <v>0</v>
      </c>
      <c r="DJ17" s="115"/>
      <c r="DK17" s="115"/>
      <c r="DL17" s="115"/>
      <c r="DM17" s="115"/>
      <c r="DN17" s="116">
        <v>0</v>
      </c>
      <c r="DO17" s="118">
        <v>18837.93</v>
      </c>
      <c r="DP17" s="116">
        <v>0</v>
      </c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6">
        <v>0</v>
      </c>
      <c r="EL17" s="116">
        <v>0</v>
      </c>
      <c r="EM17" s="116">
        <v>0</v>
      </c>
      <c r="EN17" s="117">
        <v>4380</v>
      </c>
      <c r="EO17" s="116">
        <v>22</v>
      </c>
      <c r="EP17" s="117">
        <v>4380</v>
      </c>
      <c r="EQ17" s="116">
        <v>0</v>
      </c>
      <c r="ER17" s="116">
        <v>0</v>
      </c>
      <c r="ES17" s="116">
        <v>0</v>
      </c>
      <c r="ET17" s="116">
        <v>0</v>
      </c>
      <c r="EU17" s="117">
        <v>1460</v>
      </c>
      <c r="EV17" s="117">
        <v>1460</v>
      </c>
      <c r="EW17" s="116">
        <v>0</v>
      </c>
      <c r="EX17" s="116">
        <v>0</v>
      </c>
      <c r="EY17" s="117">
        <v>4270</v>
      </c>
      <c r="EZ17" s="117">
        <v>4379</v>
      </c>
      <c r="FA17" s="116">
        <v>614</v>
      </c>
      <c r="FB17" s="116">
        <v>758</v>
      </c>
      <c r="FC17" s="116">
        <v>0</v>
      </c>
      <c r="FD17" s="116">
        <v>758</v>
      </c>
      <c r="FE17" s="116">
        <v>1.04</v>
      </c>
      <c r="FF17" s="116">
        <v>759.62</v>
      </c>
      <c r="FG17" s="116">
        <v>0.62</v>
      </c>
      <c r="FH17" s="116">
        <v>0.97</v>
      </c>
      <c r="FI17" s="116">
        <v>0.96</v>
      </c>
      <c r="FJ17" s="116">
        <v>0.99</v>
      </c>
      <c r="FK17" s="116">
        <v>69.34</v>
      </c>
      <c r="FL17" s="118">
        <v>23013.85</v>
      </c>
      <c r="FM17" s="116">
        <v>99.83</v>
      </c>
      <c r="FN17" s="115"/>
      <c r="FO17" s="116">
        <v>100</v>
      </c>
      <c r="FP17" s="116">
        <v>155.22</v>
      </c>
      <c r="FQ17" s="116">
        <v>16.829999999999998</v>
      </c>
      <c r="FR17" s="115"/>
      <c r="FS17" s="116">
        <v>98.88</v>
      </c>
      <c r="FT17" s="116">
        <v>0</v>
      </c>
      <c r="FU17" s="116">
        <v>19.5</v>
      </c>
      <c r="FV17" s="116">
        <v>43</v>
      </c>
      <c r="FW17" s="116">
        <v>282.64999999999998</v>
      </c>
      <c r="FX17" s="116">
        <v>9.1</v>
      </c>
      <c r="FY17" s="116">
        <v>10.65</v>
      </c>
      <c r="FZ17" s="116">
        <v>164.8</v>
      </c>
      <c r="GA17" s="116">
        <v>100</v>
      </c>
      <c r="GB17" s="116">
        <v>100</v>
      </c>
      <c r="GC17" s="116">
        <v>23.4</v>
      </c>
      <c r="GD17" s="116">
        <v>0.61</v>
      </c>
      <c r="GE17" s="116">
        <v>113.87</v>
      </c>
      <c r="GF17" s="116">
        <v>83.16</v>
      </c>
      <c r="GG17" s="116">
        <v>50.36</v>
      </c>
      <c r="GH17" s="116">
        <v>62.91</v>
      </c>
      <c r="GI17" s="116">
        <v>16.73</v>
      </c>
      <c r="GJ17" s="116">
        <v>44.67</v>
      </c>
      <c r="GK17" s="116">
        <v>0.85</v>
      </c>
      <c r="GL17" s="116">
        <v>0.45</v>
      </c>
      <c r="GM17" s="116">
        <v>26.6</v>
      </c>
      <c r="GN17" s="116">
        <v>71</v>
      </c>
      <c r="GO17" s="116">
        <v>25.66</v>
      </c>
      <c r="GP17" s="116">
        <v>2.6</v>
      </c>
      <c r="GQ17" s="116">
        <v>0.72</v>
      </c>
      <c r="GR17" s="116">
        <v>60.82</v>
      </c>
      <c r="GS17" s="116">
        <v>34.14</v>
      </c>
      <c r="GT17" s="116">
        <v>5.03</v>
      </c>
      <c r="GU17" s="116">
        <v>95.97</v>
      </c>
      <c r="GV17" s="115"/>
      <c r="GW17" s="116">
        <v>2.67</v>
      </c>
      <c r="GX17" s="116">
        <v>0</v>
      </c>
      <c r="GY17" s="116">
        <v>100</v>
      </c>
      <c r="GZ17" s="116">
        <v>1.55</v>
      </c>
      <c r="HA17" s="116">
        <v>20</v>
      </c>
      <c r="HB17" s="116">
        <v>16.95</v>
      </c>
      <c r="HC17" s="116">
        <v>161.58000000000001</v>
      </c>
      <c r="HD17" s="116">
        <v>79.989999999999995</v>
      </c>
      <c r="HE17" s="116">
        <v>18.8</v>
      </c>
      <c r="HF17" s="116">
        <v>0</v>
      </c>
      <c r="HG17" s="116">
        <v>100</v>
      </c>
      <c r="HH17" s="116">
        <v>100</v>
      </c>
      <c r="HI17" s="116">
        <v>100</v>
      </c>
      <c r="HJ17" s="116">
        <v>0.68</v>
      </c>
      <c r="HK17" s="116">
        <v>0.01</v>
      </c>
      <c r="HL17" s="116">
        <v>0.28999999999999998</v>
      </c>
      <c r="HM17" s="115"/>
      <c r="HN17" s="115"/>
      <c r="HO17" s="115"/>
      <c r="HP17" s="115"/>
      <c r="HQ17" s="116">
        <v>0.5</v>
      </c>
      <c r="HR17" s="116">
        <v>0</v>
      </c>
      <c r="HS17" s="115"/>
      <c r="HT17" s="116">
        <v>300</v>
      </c>
      <c r="HU17" s="116">
        <v>300</v>
      </c>
      <c r="HV17" s="116">
        <v>0</v>
      </c>
      <c r="HW17" s="116">
        <v>0.14000000000000001</v>
      </c>
      <c r="HX17" s="116">
        <v>0</v>
      </c>
      <c r="HY17" s="116">
        <v>100</v>
      </c>
      <c r="HZ17" s="116">
        <v>81.96</v>
      </c>
      <c r="IA17" s="116">
        <v>241.64</v>
      </c>
      <c r="IB17" s="115"/>
    </row>
    <row r="18" spans="1:236" ht="16" x14ac:dyDescent="0.2">
      <c r="A18" s="114">
        <v>351770</v>
      </c>
      <c r="B18" s="116" t="s">
        <v>379</v>
      </c>
      <c r="C18" s="116" t="s">
        <v>235</v>
      </c>
      <c r="D18" s="116">
        <v>2005</v>
      </c>
      <c r="E18" s="116">
        <v>35177011</v>
      </c>
      <c r="F18" s="116" t="s">
        <v>380</v>
      </c>
      <c r="G18" s="116" t="s">
        <v>381</v>
      </c>
      <c r="H18" s="116" t="s">
        <v>236</v>
      </c>
      <c r="I18" s="116" t="s">
        <v>237</v>
      </c>
      <c r="J18" s="116" t="s">
        <v>382</v>
      </c>
      <c r="K18" s="116">
        <v>1</v>
      </c>
      <c r="L18" s="116">
        <v>0</v>
      </c>
      <c r="M18" s="116">
        <v>0</v>
      </c>
      <c r="N18" s="115"/>
      <c r="O18" s="115"/>
      <c r="P18" s="116">
        <v>1</v>
      </c>
      <c r="Q18" s="116">
        <v>1</v>
      </c>
      <c r="R18" s="116">
        <v>1</v>
      </c>
      <c r="S18" s="116">
        <v>0</v>
      </c>
      <c r="T18" s="116">
        <v>0</v>
      </c>
      <c r="U18" s="115"/>
      <c r="V18" s="115"/>
      <c r="W18" s="116" t="s">
        <v>238</v>
      </c>
      <c r="X18" s="116" t="s">
        <v>238</v>
      </c>
      <c r="Y18" s="115"/>
      <c r="Z18" s="117">
        <v>20516</v>
      </c>
      <c r="AA18" s="117">
        <v>19478</v>
      </c>
      <c r="AB18" s="117">
        <v>21100</v>
      </c>
      <c r="AC18" s="117">
        <v>21100</v>
      </c>
      <c r="AD18" s="117">
        <v>5935</v>
      </c>
      <c r="AE18" s="117">
        <v>5801</v>
      </c>
      <c r="AF18" s="117">
        <v>6264</v>
      </c>
      <c r="AG18" s="117">
        <v>6174</v>
      </c>
      <c r="AH18" s="117">
        <v>5915</v>
      </c>
      <c r="AI18" s="117">
        <v>5801</v>
      </c>
      <c r="AJ18" s="116">
        <v>56</v>
      </c>
      <c r="AK18" s="116">
        <v>55</v>
      </c>
      <c r="AL18" s="118">
        <v>2068</v>
      </c>
      <c r="AM18" s="116">
        <v>0</v>
      </c>
      <c r="AN18" s="115"/>
      <c r="AO18" s="118">
        <v>1767.5</v>
      </c>
      <c r="AP18" s="118">
        <v>1466.63</v>
      </c>
      <c r="AQ18" s="118">
        <v>2068</v>
      </c>
      <c r="AR18" s="117">
        <v>6243</v>
      </c>
      <c r="AS18" s="117">
        <v>5652</v>
      </c>
      <c r="AT18" s="117">
        <v>5935</v>
      </c>
      <c r="AU18" s="115"/>
      <c r="AV18" s="118">
        <v>2068</v>
      </c>
      <c r="AW18" s="116">
        <v>0</v>
      </c>
      <c r="AX18" s="116">
        <v>0</v>
      </c>
      <c r="AY18" s="116">
        <v>0</v>
      </c>
      <c r="AZ18" s="116">
        <v>0</v>
      </c>
      <c r="BA18" s="117">
        <v>6243</v>
      </c>
      <c r="BB18" s="117">
        <v>6239</v>
      </c>
      <c r="BC18" s="117">
        <v>5625</v>
      </c>
      <c r="BD18" s="115"/>
      <c r="BE18" s="116">
        <v>0</v>
      </c>
      <c r="BF18" s="116">
        <v>800</v>
      </c>
      <c r="BG18" s="117">
        <v>20300</v>
      </c>
      <c r="BH18" s="117">
        <v>20300</v>
      </c>
      <c r="BI18" s="118">
        <v>2068</v>
      </c>
      <c r="BJ18" s="118">
        <v>1393</v>
      </c>
      <c r="BK18" s="117">
        <v>21100</v>
      </c>
      <c r="BL18" s="117">
        <v>21100</v>
      </c>
      <c r="BM18" s="117">
        <v>5653</v>
      </c>
      <c r="BN18" s="117">
        <v>5747</v>
      </c>
      <c r="BO18" s="117">
        <v>5747</v>
      </c>
      <c r="BP18" s="117">
        <v>5747</v>
      </c>
      <c r="BQ18" s="116">
        <v>61</v>
      </c>
      <c r="BR18" s="116">
        <v>60</v>
      </c>
      <c r="BS18" s="118">
        <v>1314.6</v>
      </c>
      <c r="BT18" s="116">
        <v>0</v>
      </c>
      <c r="BU18" s="116">
        <v>742.3</v>
      </c>
      <c r="BV18" s="117">
        <v>5653</v>
      </c>
      <c r="BW18" s="117">
        <v>5653</v>
      </c>
      <c r="BX18" s="117">
        <v>5699</v>
      </c>
      <c r="BY18" s="117">
        <v>5747</v>
      </c>
      <c r="BZ18" s="115"/>
      <c r="CA18" s="115"/>
      <c r="CB18" s="115"/>
      <c r="CC18" s="115"/>
      <c r="CD18" s="115"/>
      <c r="CE18" s="117">
        <v>21100</v>
      </c>
      <c r="CF18" s="117">
        <v>21100</v>
      </c>
      <c r="CG18" s="116">
        <v>16.3</v>
      </c>
      <c r="CH18" s="118">
        <v>2076952.29</v>
      </c>
      <c r="CI18" s="118">
        <v>1360161.39</v>
      </c>
      <c r="CJ18" s="118">
        <v>716790.9</v>
      </c>
      <c r="CK18" s="118">
        <v>6200.21</v>
      </c>
      <c r="CL18" s="118">
        <v>2083152.5</v>
      </c>
      <c r="CM18" s="118">
        <v>2088315.44</v>
      </c>
      <c r="CN18" s="116">
        <v>0</v>
      </c>
      <c r="CO18" s="118">
        <v>803338.2</v>
      </c>
      <c r="CP18" s="118">
        <v>808501.08</v>
      </c>
      <c r="CQ18" s="118">
        <v>312833.18</v>
      </c>
      <c r="CR18" s="118">
        <v>172438.35</v>
      </c>
      <c r="CS18" s="118">
        <v>351493.84</v>
      </c>
      <c r="CT18" s="118">
        <v>119839.26</v>
      </c>
      <c r="CU18" s="118">
        <v>1036164.8</v>
      </c>
      <c r="CV18" s="116">
        <v>0</v>
      </c>
      <c r="CW18" s="118">
        <v>1175727.53</v>
      </c>
      <c r="CX18" s="116">
        <v>0</v>
      </c>
      <c r="CY18" s="118">
        <v>54955.12</v>
      </c>
      <c r="CZ18" s="116">
        <v>0</v>
      </c>
      <c r="DA18" s="118">
        <v>79560.17</v>
      </c>
      <c r="DB18" s="116">
        <v>0</v>
      </c>
      <c r="DC18" s="116">
        <v>0</v>
      </c>
      <c r="DD18" s="116">
        <v>0</v>
      </c>
      <c r="DE18" s="118">
        <v>271107.48</v>
      </c>
      <c r="DF18" s="116">
        <v>17</v>
      </c>
      <c r="DG18" s="116">
        <v>14</v>
      </c>
      <c r="DH18" s="116">
        <v>0</v>
      </c>
      <c r="DI18" s="118">
        <v>84607.61</v>
      </c>
      <c r="DJ18" s="118">
        <v>271107.48</v>
      </c>
      <c r="DK18" s="116">
        <v>0</v>
      </c>
      <c r="DL18" s="116">
        <v>0</v>
      </c>
      <c r="DM18" s="118">
        <v>271107.48</v>
      </c>
      <c r="DN18" s="116">
        <v>0</v>
      </c>
      <c r="DO18" s="116">
        <v>0</v>
      </c>
      <c r="DP18" s="116">
        <v>0</v>
      </c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6">
        <v>3</v>
      </c>
      <c r="EL18" s="116">
        <v>10</v>
      </c>
      <c r="EM18" s="116">
        <v>380</v>
      </c>
      <c r="EN18" s="117">
        <v>4380</v>
      </c>
      <c r="EO18" s="116">
        <v>24</v>
      </c>
      <c r="EP18" s="117">
        <v>4380</v>
      </c>
      <c r="EQ18" s="116">
        <v>0</v>
      </c>
      <c r="ER18" s="116">
        <v>0</v>
      </c>
      <c r="ES18" s="116">
        <v>0</v>
      </c>
      <c r="ET18" s="116">
        <v>0</v>
      </c>
      <c r="EU18" s="117">
        <v>1460</v>
      </c>
      <c r="EV18" s="117">
        <v>1460</v>
      </c>
      <c r="EW18" s="116">
        <v>0</v>
      </c>
      <c r="EX18" s="116">
        <v>0</v>
      </c>
      <c r="EY18" s="117">
        <v>3947</v>
      </c>
      <c r="EZ18" s="117">
        <v>4249</v>
      </c>
      <c r="FA18" s="118">
        <v>1200</v>
      </c>
      <c r="FB18" s="116">
        <v>758</v>
      </c>
      <c r="FC18" s="116">
        <v>0</v>
      </c>
      <c r="FD18" s="116">
        <v>758</v>
      </c>
      <c r="FE18" s="116">
        <v>1.05</v>
      </c>
      <c r="FF18" s="116">
        <v>772</v>
      </c>
      <c r="FG18" s="116">
        <v>0.53</v>
      </c>
      <c r="FH18" s="116">
        <v>0.94</v>
      </c>
      <c r="FI18" s="116">
        <v>0.92</v>
      </c>
      <c r="FJ18" s="116">
        <v>0.96</v>
      </c>
      <c r="FK18" s="116">
        <v>36.799999999999997</v>
      </c>
      <c r="FL18" s="118">
        <v>20182.79</v>
      </c>
      <c r="FM18" s="116">
        <v>99.82</v>
      </c>
      <c r="FN18" s="115"/>
      <c r="FO18" s="116">
        <v>100</v>
      </c>
      <c r="FP18" s="116">
        <v>176.65</v>
      </c>
      <c r="FQ18" s="116">
        <v>29.07</v>
      </c>
      <c r="FR18" s="115"/>
      <c r="FS18" s="116">
        <v>74.37</v>
      </c>
      <c r="FT18" s="116">
        <v>0</v>
      </c>
      <c r="FU18" s="116">
        <v>19.7</v>
      </c>
      <c r="FV18" s="116">
        <v>21</v>
      </c>
      <c r="FW18" s="116">
        <v>558.16999999999996</v>
      </c>
      <c r="FX18" s="116">
        <v>8.9</v>
      </c>
      <c r="FY18" s="116">
        <v>10.57</v>
      </c>
      <c r="FZ18" s="116">
        <v>229.5</v>
      </c>
      <c r="GA18" s="116">
        <v>100</v>
      </c>
      <c r="GB18" s="116">
        <v>100</v>
      </c>
      <c r="GC18" s="116">
        <v>27.7</v>
      </c>
      <c r="GD18" s="116">
        <v>0.46</v>
      </c>
      <c r="GE18" s="116">
        <v>86.59</v>
      </c>
      <c r="GF18" s="116">
        <v>70.92</v>
      </c>
      <c r="GG18" s="116">
        <v>-0.24</v>
      </c>
      <c r="GH18" s="116">
        <v>49.88</v>
      </c>
      <c r="GI18" s="116">
        <v>15.06</v>
      </c>
      <c r="GJ18" s="116">
        <v>20.83</v>
      </c>
      <c r="GK18" s="116">
        <v>0</v>
      </c>
      <c r="GL18" s="116">
        <v>0</v>
      </c>
      <c r="GM18" s="116">
        <v>30.19</v>
      </c>
      <c r="GN18" s="116">
        <v>41.75</v>
      </c>
      <c r="GO18" s="116">
        <v>33.92</v>
      </c>
      <c r="GP18" s="116">
        <v>16.64</v>
      </c>
      <c r="GQ18" s="116">
        <v>0</v>
      </c>
      <c r="GR18" s="116">
        <v>65.290000000000006</v>
      </c>
      <c r="GS18" s="116">
        <v>34.4</v>
      </c>
      <c r="GT18" s="116">
        <v>0.28999999999999998</v>
      </c>
      <c r="GU18" s="116">
        <v>95.63</v>
      </c>
      <c r="GV18" s="115"/>
      <c r="GW18" s="116">
        <v>2.64</v>
      </c>
      <c r="GX18" s="116">
        <v>0</v>
      </c>
      <c r="GY18" s="116">
        <v>100</v>
      </c>
      <c r="GZ18" s="116">
        <v>1.33</v>
      </c>
      <c r="HA18" s="116">
        <v>14.53</v>
      </c>
      <c r="HB18" s="116">
        <v>14.83</v>
      </c>
      <c r="HC18" s="116">
        <v>140.30000000000001</v>
      </c>
      <c r="HD18" s="116">
        <v>85.46</v>
      </c>
      <c r="HE18" s="116">
        <v>23.7</v>
      </c>
      <c r="HF18" s="116">
        <v>139</v>
      </c>
      <c r="HG18" s="116">
        <v>100</v>
      </c>
      <c r="HH18" s="116">
        <v>100</v>
      </c>
      <c r="HI18" s="116">
        <v>100</v>
      </c>
      <c r="HJ18" s="116">
        <v>0.67</v>
      </c>
      <c r="HK18" s="116">
        <v>0.01</v>
      </c>
      <c r="HL18" s="116">
        <v>0.24</v>
      </c>
      <c r="HM18" s="116">
        <v>127</v>
      </c>
      <c r="HN18" s="116">
        <v>3.33</v>
      </c>
      <c r="HO18" s="115"/>
      <c r="HP18" s="115"/>
      <c r="HQ18" s="116">
        <v>0.54</v>
      </c>
      <c r="HR18" s="116">
        <v>0</v>
      </c>
      <c r="HS18" s="115"/>
      <c r="HT18" s="116">
        <v>300</v>
      </c>
      <c r="HU18" s="116">
        <v>300</v>
      </c>
      <c r="HV18" s="116">
        <v>0</v>
      </c>
      <c r="HW18" s="116">
        <v>0.28000000000000003</v>
      </c>
      <c r="HX18" s="116">
        <v>0</v>
      </c>
      <c r="HY18" s="116">
        <v>100</v>
      </c>
      <c r="HZ18" s="116">
        <v>201.54</v>
      </c>
      <c r="IA18" s="116">
        <v>539.61</v>
      </c>
      <c r="IB18" s="115"/>
    </row>
    <row r="19" spans="1:236" ht="16" x14ac:dyDescent="0.2">
      <c r="A19" s="114">
        <v>351770</v>
      </c>
      <c r="B19" s="116" t="s">
        <v>379</v>
      </c>
      <c r="C19" s="116" t="s">
        <v>235</v>
      </c>
      <c r="D19" s="116">
        <v>2004</v>
      </c>
      <c r="E19" s="116">
        <v>35177011</v>
      </c>
      <c r="F19" s="116" t="s">
        <v>380</v>
      </c>
      <c r="G19" s="116" t="s">
        <v>381</v>
      </c>
      <c r="H19" s="116" t="s">
        <v>236</v>
      </c>
      <c r="I19" s="116" t="s">
        <v>237</v>
      </c>
      <c r="J19" s="116" t="s">
        <v>382</v>
      </c>
      <c r="K19" s="116">
        <v>1</v>
      </c>
      <c r="L19" s="116">
        <v>0</v>
      </c>
      <c r="M19" s="116">
        <v>0</v>
      </c>
      <c r="N19" s="115"/>
      <c r="O19" s="115"/>
      <c r="P19" s="116">
        <v>1</v>
      </c>
      <c r="Q19" s="116">
        <v>1</v>
      </c>
      <c r="R19" s="116">
        <v>1</v>
      </c>
      <c r="S19" s="116">
        <v>0</v>
      </c>
      <c r="T19" s="116">
        <v>0</v>
      </c>
      <c r="U19" s="115"/>
      <c r="V19" s="115"/>
      <c r="W19" s="116" t="s">
        <v>238</v>
      </c>
      <c r="X19" s="116" t="s">
        <v>238</v>
      </c>
      <c r="Y19" s="115"/>
      <c r="Z19" s="117">
        <v>20226</v>
      </c>
      <c r="AA19" s="117">
        <v>19203</v>
      </c>
      <c r="AB19" s="117">
        <v>21100</v>
      </c>
      <c r="AC19" s="117">
        <v>19500</v>
      </c>
      <c r="AD19" s="117">
        <v>5801</v>
      </c>
      <c r="AE19" s="117">
        <v>5882</v>
      </c>
      <c r="AF19" s="117">
        <v>6174</v>
      </c>
      <c r="AG19" s="117">
        <v>6370</v>
      </c>
      <c r="AH19" s="117">
        <v>5801</v>
      </c>
      <c r="AI19" s="117">
        <v>5814</v>
      </c>
      <c r="AJ19" s="116">
        <v>55</v>
      </c>
      <c r="AK19" s="116">
        <v>54</v>
      </c>
      <c r="AL19" s="118">
        <v>1770.7</v>
      </c>
      <c r="AM19" s="116">
        <v>0</v>
      </c>
      <c r="AN19" s="115"/>
      <c r="AO19" s="115"/>
      <c r="AP19" s="115"/>
      <c r="AQ19" s="118">
        <v>1770.7</v>
      </c>
      <c r="AR19" s="117">
        <v>5652</v>
      </c>
      <c r="AS19" s="117">
        <v>6128</v>
      </c>
      <c r="AT19" s="115"/>
      <c r="AU19" s="115"/>
      <c r="AV19" s="118">
        <v>1770.7</v>
      </c>
      <c r="AW19" s="116">
        <v>0</v>
      </c>
      <c r="AX19" s="116">
        <v>0</v>
      </c>
      <c r="AY19" s="116">
        <v>0</v>
      </c>
      <c r="AZ19" s="115"/>
      <c r="BA19" s="117">
        <v>6239</v>
      </c>
      <c r="BB19" s="117">
        <v>5886</v>
      </c>
      <c r="BC19" s="115"/>
      <c r="BD19" s="115"/>
      <c r="BE19" s="116">
        <v>0</v>
      </c>
      <c r="BF19" s="116">
        <v>0</v>
      </c>
      <c r="BG19" s="117">
        <v>20300</v>
      </c>
      <c r="BH19" s="117">
        <v>19500</v>
      </c>
      <c r="BI19" s="118">
        <v>1770.7</v>
      </c>
      <c r="BJ19" s="118">
        <v>1596</v>
      </c>
      <c r="BK19" s="117">
        <v>21100</v>
      </c>
      <c r="BL19" s="117">
        <v>20000</v>
      </c>
      <c r="BM19" s="117">
        <v>5747</v>
      </c>
      <c r="BN19" s="117">
        <v>5518</v>
      </c>
      <c r="BO19" s="117">
        <v>5747</v>
      </c>
      <c r="BP19" s="117">
        <v>5518</v>
      </c>
      <c r="BQ19" s="116">
        <v>60</v>
      </c>
      <c r="BR19" s="116">
        <v>59</v>
      </c>
      <c r="BS19" s="118">
        <v>1274.9000000000001</v>
      </c>
      <c r="BT19" s="116">
        <v>0</v>
      </c>
      <c r="BU19" s="116">
        <v>726.7</v>
      </c>
      <c r="BV19" s="117">
        <v>5653</v>
      </c>
      <c r="BW19" s="117">
        <v>5125</v>
      </c>
      <c r="BX19" s="117">
        <v>5747</v>
      </c>
      <c r="BY19" s="117">
        <v>5518</v>
      </c>
      <c r="BZ19" s="115"/>
      <c r="CA19" s="115"/>
      <c r="CB19" s="115"/>
      <c r="CC19" s="115"/>
      <c r="CD19" s="116">
        <v>0</v>
      </c>
      <c r="CE19" s="117">
        <v>21100</v>
      </c>
      <c r="CF19" s="117">
        <v>20000</v>
      </c>
      <c r="CG19" s="118">
        <v>15600</v>
      </c>
      <c r="CH19" s="118">
        <v>1745623.33</v>
      </c>
      <c r="CI19" s="118">
        <v>1154221.71</v>
      </c>
      <c r="CJ19" s="118">
        <v>591401.62</v>
      </c>
      <c r="CK19" s="116">
        <v>0</v>
      </c>
      <c r="CL19" s="118">
        <v>1745623.33</v>
      </c>
      <c r="CM19" s="118">
        <v>1808286.47</v>
      </c>
      <c r="CN19" s="116">
        <v>0</v>
      </c>
      <c r="CO19" s="118">
        <v>808501.08</v>
      </c>
      <c r="CP19" s="118">
        <v>310706.03000000003</v>
      </c>
      <c r="CQ19" s="118">
        <v>200775.67</v>
      </c>
      <c r="CR19" s="118">
        <v>14400</v>
      </c>
      <c r="CS19" s="118">
        <v>351377.59</v>
      </c>
      <c r="CT19" s="118">
        <v>92403</v>
      </c>
      <c r="CU19" s="118">
        <v>2250145.39</v>
      </c>
      <c r="CV19" s="116">
        <v>0</v>
      </c>
      <c r="CW19" s="118">
        <v>2334363.5499999998</v>
      </c>
      <c r="CX19" s="116">
        <v>0</v>
      </c>
      <c r="CY19" s="118">
        <v>84218.16</v>
      </c>
      <c r="CZ19" s="116">
        <v>0</v>
      </c>
      <c r="DA19" s="115"/>
      <c r="DB19" s="116">
        <v>0</v>
      </c>
      <c r="DC19" s="116">
        <v>0</v>
      </c>
      <c r="DD19" s="116">
        <v>0</v>
      </c>
      <c r="DE19" s="116">
        <v>0</v>
      </c>
      <c r="DF19" s="116">
        <v>14</v>
      </c>
      <c r="DG19" s="116">
        <v>14</v>
      </c>
      <c r="DH19" s="115"/>
      <c r="DI19" s="116">
        <v>0</v>
      </c>
      <c r="DJ19" s="116">
        <v>0</v>
      </c>
      <c r="DK19" s="116">
        <v>0</v>
      </c>
      <c r="DL19" s="116">
        <v>0</v>
      </c>
      <c r="DM19" s="116">
        <v>0</v>
      </c>
      <c r="DN19" s="116">
        <v>0</v>
      </c>
      <c r="DO19" s="116">
        <v>0</v>
      </c>
      <c r="DP19" s="116">
        <v>0</v>
      </c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6">
        <v>960</v>
      </c>
      <c r="EO19" s="115"/>
      <c r="EP19" s="116">
        <v>80</v>
      </c>
      <c r="EQ19" s="115"/>
      <c r="ER19" s="115"/>
      <c r="ES19" s="115"/>
      <c r="ET19" s="115"/>
      <c r="EU19" s="116">
        <v>80</v>
      </c>
      <c r="EV19" s="116">
        <v>480</v>
      </c>
      <c r="EW19" s="115"/>
      <c r="EX19" s="115"/>
      <c r="EY19" s="115"/>
      <c r="EZ19" s="115"/>
      <c r="FA19" s="115"/>
      <c r="FB19" s="116">
        <v>240</v>
      </c>
      <c r="FC19" s="116">
        <v>0</v>
      </c>
      <c r="FD19" s="116">
        <v>240</v>
      </c>
      <c r="FE19" s="116">
        <v>1.07</v>
      </c>
      <c r="FF19" s="116">
        <v>850.32</v>
      </c>
      <c r="FG19" s="115"/>
      <c r="FH19" s="115"/>
      <c r="FI19" s="115"/>
      <c r="FJ19" s="116">
        <v>0.81</v>
      </c>
      <c r="FK19" s="116">
        <v>12.55</v>
      </c>
      <c r="FL19" s="118">
        <v>14341.12</v>
      </c>
      <c r="FM19" s="116">
        <v>99.41</v>
      </c>
      <c r="FN19" s="115"/>
      <c r="FO19" s="116">
        <v>100</v>
      </c>
      <c r="FP19" s="116">
        <v>74.77</v>
      </c>
      <c r="FQ19" s="115"/>
      <c r="FR19" s="115"/>
      <c r="FS19" s="115"/>
      <c r="FT19" s="116">
        <v>0</v>
      </c>
      <c r="FU19" s="115"/>
      <c r="FV19" s="116">
        <v>20</v>
      </c>
      <c r="FW19" s="116">
        <v>582.32000000000005</v>
      </c>
      <c r="FX19" s="116">
        <v>9</v>
      </c>
      <c r="FY19" s="116">
        <v>10.56</v>
      </c>
      <c r="FZ19" s="115"/>
      <c r="GA19" s="116">
        <v>100</v>
      </c>
      <c r="GB19" s="116">
        <v>100</v>
      </c>
      <c r="GC19" s="116">
        <v>23.5</v>
      </c>
      <c r="GD19" s="115"/>
      <c r="GE19" s="116">
        <v>189.01</v>
      </c>
      <c r="GF19" s="115"/>
      <c r="GG19" s="116">
        <v>-3.58</v>
      </c>
      <c r="GH19" s="116">
        <v>128.9</v>
      </c>
      <c r="GI19" s="116">
        <v>11.5</v>
      </c>
      <c r="GJ19" s="116">
        <v>16.79</v>
      </c>
      <c r="GK19" s="116">
        <v>0</v>
      </c>
      <c r="GL19" s="116">
        <v>91.15</v>
      </c>
      <c r="GM19" s="116">
        <v>8.92</v>
      </c>
      <c r="GN19" s="116">
        <v>13.02</v>
      </c>
      <c r="GO19" s="116">
        <v>15.61</v>
      </c>
      <c r="GP19" s="116">
        <v>0.63</v>
      </c>
      <c r="GQ19" s="116">
        <v>70.709999999999994</v>
      </c>
      <c r="GR19" s="116">
        <v>66.12</v>
      </c>
      <c r="GS19" s="116">
        <v>33.869999999999997</v>
      </c>
      <c r="GT19" s="116">
        <v>0</v>
      </c>
      <c r="GU19" s="116">
        <v>93.9</v>
      </c>
      <c r="GV19" s="115"/>
      <c r="GW19" s="116">
        <v>2.39</v>
      </c>
      <c r="GX19" s="115"/>
      <c r="GY19" s="116">
        <v>100</v>
      </c>
      <c r="GZ19" s="116">
        <v>1.22</v>
      </c>
      <c r="HA19" s="115"/>
      <c r="HB19" s="115"/>
      <c r="HC19" s="115"/>
      <c r="HD19" s="115"/>
      <c r="HE19" s="115"/>
      <c r="HF19" s="116">
        <v>167</v>
      </c>
      <c r="HG19" s="116">
        <v>100</v>
      </c>
      <c r="HH19" s="116">
        <v>100</v>
      </c>
      <c r="HI19" s="116">
        <v>100</v>
      </c>
      <c r="HJ19" s="116">
        <v>0.9</v>
      </c>
      <c r="HK19" s="116">
        <v>12.23</v>
      </c>
      <c r="HL19" s="116">
        <v>0.02</v>
      </c>
      <c r="HM19" s="115"/>
      <c r="HN19" s="115"/>
      <c r="HO19" s="115"/>
      <c r="HP19" s="115"/>
      <c r="HQ19" s="115"/>
      <c r="HR19" s="115"/>
      <c r="HS19" s="115"/>
      <c r="HT19" s="116">
        <v>200</v>
      </c>
      <c r="HU19" s="116">
        <v>100</v>
      </c>
      <c r="HV19" s="115"/>
      <c r="HW19" s="115"/>
      <c r="HX19" s="116">
        <v>0</v>
      </c>
      <c r="HY19" s="116">
        <v>100</v>
      </c>
      <c r="HZ19" s="116">
        <v>80.36</v>
      </c>
      <c r="IA19" s="116">
        <v>561.26</v>
      </c>
      <c r="IB19" s="115"/>
    </row>
    <row r="20" spans="1:236" ht="16" x14ac:dyDescent="0.2">
      <c r="A20" s="114">
        <v>351770</v>
      </c>
      <c r="B20" s="116" t="s">
        <v>379</v>
      </c>
      <c r="C20" s="116" t="s">
        <v>235</v>
      </c>
      <c r="D20" s="116">
        <v>2003</v>
      </c>
      <c r="E20" s="116">
        <v>35177011</v>
      </c>
      <c r="F20" s="116" t="s">
        <v>380</v>
      </c>
      <c r="G20" s="116" t="s">
        <v>381</v>
      </c>
      <c r="H20" s="116" t="s">
        <v>236</v>
      </c>
      <c r="I20" s="116" t="s">
        <v>237</v>
      </c>
      <c r="J20" s="116" t="s">
        <v>382</v>
      </c>
      <c r="K20" s="116">
        <v>1</v>
      </c>
      <c r="L20" s="116">
        <v>0</v>
      </c>
      <c r="M20" s="116">
        <v>0</v>
      </c>
      <c r="N20" s="115"/>
      <c r="O20" s="115"/>
      <c r="P20" s="116">
        <v>1</v>
      </c>
      <c r="Q20" s="116">
        <v>1</v>
      </c>
      <c r="R20" s="116">
        <v>1</v>
      </c>
      <c r="S20" s="116">
        <v>0</v>
      </c>
      <c r="T20" s="116">
        <v>0</v>
      </c>
      <c r="U20" s="115"/>
      <c r="V20" s="115"/>
      <c r="W20" s="116" t="s">
        <v>238</v>
      </c>
      <c r="X20" s="116" t="s">
        <v>238</v>
      </c>
      <c r="Y20" s="115"/>
      <c r="Z20" s="117">
        <v>19703</v>
      </c>
      <c r="AA20" s="117">
        <v>18706</v>
      </c>
      <c r="AB20" s="117">
        <v>19500</v>
      </c>
      <c r="AC20" s="115"/>
      <c r="AD20" s="117">
        <v>5882</v>
      </c>
      <c r="AE20" s="115"/>
      <c r="AF20" s="117">
        <v>6370</v>
      </c>
      <c r="AG20" s="115"/>
      <c r="AH20" s="117">
        <v>5814</v>
      </c>
      <c r="AI20" s="115"/>
      <c r="AJ20" s="116">
        <v>54</v>
      </c>
      <c r="AK20" s="115"/>
      <c r="AL20" s="118">
        <v>1788.41</v>
      </c>
      <c r="AM20" s="116">
        <v>0</v>
      </c>
      <c r="AN20" s="115"/>
      <c r="AO20" s="115"/>
      <c r="AP20" s="115"/>
      <c r="AQ20" s="118">
        <v>1788.41</v>
      </c>
      <c r="AR20" s="117">
        <v>6128</v>
      </c>
      <c r="AS20" s="115"/>
      <c r="AT20" s="115"/>
      <c r="AU20" s="115"/>
      <c r="AV20" s="118">
        <v>1788.41</v>
      </c>
      <c r="AW20" s="116">
        <v>0</v>
      </c>
      <c r="AX20" s="116">
        <v>0</v>
      </c>
      <c r="AY20" s="116">
        <v>0</v>
      </c>
      <c r="AZ20" s="115"/>
      <c r="BA20" s="117">
        <v>5886</v>
      </c>
      <c r="BB20" s="115"/>
      <c r="BC20" s="115"/>
      <c r="BD20" s="115"/>
      <c r="BE20" s="116">
        <v>0</v>
      </c>
      <c r="BF20" s="115"/>
      <c r="BG20" s="117">
        <v>19500</v>
      </c>
      <c r="BH20" s="115"/>
      <c r="BI20" s="118">
        <v>1788.41</v>
      </c>
      <c r="BJ20" s="118">
        <v>1874.47</v>
      </c>
      <c r="BK20" s="117">
        <v>20000</v>
      </c>
      <c r="BL20" s="115"/>
      <c r="BM20" s="117">
        <v>5518</v>
      </c>
      <c r="BN20" s="115"/>
      <c r="BO20" s="117">
        <v>5518</v>
      </c>
      <c r="BP20" s="115"/>
      <c r="BQ20" s="116">
        <v>59</v>
      </c>
      <c r="BR20" s="115"/>
      <c r="BS20" s="118">
        <v>1289.2</v>
      </c>
      <c r="BT20" s="116">
        <v>0</v>
      </c>
      <c r="BU20" s="116">
        <v>735.1</v>
      </c>
      <c r="BV20" s="117">
        <v>5125</v>
      </c>
      <c r="BW20" s="115"/>
      <c r="BX20" s="117">
        <v>5518</v>
      </c>
      <c r="BY20" s="115"/>
      <c r="BZ20" s="115"/>
      <c r="CA20" s="115"/>
      <c r="CB20" s="115"/>
      <c r="CC20" s="115"/>
      <c r="CD20" s="115"/>
      <c r="CE20" s="117">
        <v>20000</v>
      </c>
      <c r="CF20" s="115"/>
      <c r="CG20" s="118">
        <v>1874.47</v>
      </c>
      <c r="CH20" s="118">
        <v>1495589.9</v>
      </c>
      <c r="CI20" s="118">
        <v>999744</v>
      </c>
      <c r="CJ20" s="118">
        <v>495845.9</v>
      </c>
      <c r="CK20" s="118">
        <v>92517.24</v>
      </c>
      <c r="CL20" s="118">
        <v>1588107.15</v>
      </c>
      <c r="CM20" s="118">
        <v>1627604</v>
      </c>
      <c r="CN20" s="116">
        <v>0</v>
      </c>
      <c r="CO20" s="118">
        <v>310706.03000000003</v>
      </c>
      <c r="CP20" s="115"/>
      <c r="CQ20" s="118">
        <v>265951.82</v>
      </c>
      <c r="CR20" s="118">
        <v>12000</v>
      </c>
      <c r="CS20" s="118">
        <v>459975.01</v>
      </c>
      <c r="CT20" s="118">
        <v>249216.14</v>
      </c>
      <c r="CU20" s="118">
        <v>987142.97</v>
      </c>
      <c r="CV20" s="116">
        <v>0</v>
      </c>
      <c r="CW20" s="118">
        <v>1236359.1100000001</v>
      </c>
      <c r="CX20" s="116">
        <v>0</v>
      </c>
      <c r="CY20" s="118">
        <v>249216.14</v>
      </c>
      <c r="CZ20" s="116">
        <v>0</v>
      </c>
      <c r="DA20" s="115"/>
      <c r="DB20" s="116">
        <v>0</v>
      </c>
      <c r="DC20" s="116">
        <v>0</v>
      </c>
      <c r="DD20" s="116">
        <v>0</v>
      </c>
      <c r="DE20" s="116">
        <v>0</v>
      </c>
      <c r="DF20" s="116">
        <v>14</v>
      </c>
      <c r="DG20" s="115"/>
      <c r="DH20" s="115"/>
      <c r="DI20" s="116">
        <v>0</v>
      </c>
      <c r="DJ20" s="116">
        <v>0</v>
      </c>
      <c r="DK20" s="116">
        <v>0</v>
      </c>
      <c r="DL20" s="116">
        <v>0</v>
      </c>
      <c r="DM20" s="116">
        <v>0</v>
      </c>
      <c r="DN20" s="116">
        <v>0</v>
      </c>
      <c r="DO20" s="116">
        <v>0</v>
      </c>
      <c r="DP20" s="116">
        <v>0</v>
      </c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6">
        <v>0</v>
      </c>
      <c r="EL20" s="116">
        <v>0</v>
      </c>
      <c r="EM20" s="116">
        <v>0</v>
      </c>
      <c r="EN20" s="116">
        <v>960</v>
      </c>
      <c r="EO20" s="116">
        <v>0</v>
      </c>
      <c r="EP20" s="116">
        <v>60</v>
      </c>
      <c r="EQ20" s="116">
        <v>0</v>
      </c>
      <c r="ER20" s="116">
        <v>0</v>
      </c>
      <c r="ES20" s="116">
        <v>0</v>
      </c>
      <c r="ET20" s="116">
        <v>0</v>
      </c>
      <c r="EU20" s="116">
        <v>60</v>
      </c>
      <c r="EV20" s="116">
        <v>240</v>
      </c>
      <c r="EW20" s="116">
        <v>0</v>
      </c>
      <c r="EX20" s="116">
        <v>0</v>
      </c>
      <c r="EY20" s="115"/>
      <c r="EZ20" s="115"/>
      <c r="FA20" s="115"/>
      <c r="FB20" s="116">
        <v>240</v>
      </c>
      <c r="FC20" s="116">
        <v>0</v>
      </c>
      <c r="FD20" s="116">
        <v>240</v>
      </c>
      <c r="FE20" s="116">
        <v>1.0900000000000001</v>
      </c>
      <c r="FF20" s="116">
        <v>733.06</v>
      </c>
      <c r="FG20" s="115"/>
      <c r="FH20" s="115"/>
      <c r="FI20" s="115"/>
      <c r="FJ20" s="116">
        <v>0.67</v>
      </c>
      <c r="FK20" s="116">
        <v>41.66</v>
      </c>
      <c r="FL20" s="118">
        <v>16621.990000000002</v>
      </c>
      <c r="FM20" s="116">
        <v>98.09</v>
      </c>
      <c r="FN20" s="115"/>
      <c r="FO20" s="116">
        <v>100</v>
      </c>
      <c r="FP20" s="116">
        <v>120.96</v>
      </c>
      <c r="FQ20" s="115"/>
      <c r="FR20" s="115"/>
      <c r="FS20" s="115"/>
      <c r="FT20" s="116">
        <v>0</v>
      </c>
      <c r="FU20" s="115"/>
      <c r="FV20" s="116">
        <v>31</v>
      </c>
      <c r="FW20" s="116">
        <v>378.43</v>
      </c>
      <c r="FX20" s="116">
        <v>9.1</v>
      </c>
      <c r="FY20" s="116">
        <v>9.9499999999999993</v>
      </c>
      <c r="FZ20" s="115"/>
      <c r="GA20" s="116">
        <v>100</v>
      </c>
      <c r="GB20" s="116">
        <v>100</v>
      </c>
      <c r="GC20" s="116">
        <v>23.8</v>
      </c>
      <c r="GD20" s="115"/>
      <c r="GE20" s="116">
        <v>84.16</v>
      </c>
      <c r="GF20" s="115"/>
      <c r="GG20" s="116">
        <v>-2.48</v>
      </c>
      <c r="GH20" s="116">
        <v>66</v>
      </c>
      <c r="GI20" s="116">
        <v>17.78</v>
      </c>
      <c r="GJ20" s="116">
        <v>34.44</v>
      </c>
      <c r="GK20" s="116">
        <v>0</v>
      </c>
      <c r="GL20" s="116">
        <v>0</v>
      </c>
      <c r="GM20" s="116">
        <v>26.94</v>
      </c>
      <c r="GN20" s="116">
        <v>52.18</v>
      </c>
      <c r="GO20" s="116">
        <v>46.59</v>
      </c>
      <c r="GP20" s="116">
        <v>1.21</v>
      </c>
      <c r="GQ20" s="116">
        <v>0</v>
      </c>
      <c r="GR20" s="116">
        <v>62.95</v>
      </c>
      <c r="GS20" s="116">
        <v>31.22</v>
      </c>
      <c r="GT20" s="116">
        <v>5.82</v>
      </c>
      <c r="GU20" s="116">
        <v>95.96</v>
      </c>
      <c r="GV20" s="115"/>
      <c r="GW20" s="116">
        <v>2.79</v>
      </c>
      <c r="GX20" s="115"/>
      <c r="GY20" s="116">
        <v>100</v>
      </c>
      <c r="GZ20" s="116">
        <v>1.42</v>
      </c>
      <c r="HA20" s="115"/>
      <c r="HB20" s="115"/>
      <c r="HC20" s="115"/>
      <c r="HD20" s="115"/>
      <c r="HE20" s="115"/>
      <c r="HF20" s="116">
        <v>75</v>
      </c>
      <c r="HG20" s="116">
        <v>98.96</v>
      </c>
      <c r="HH20" s="116">
        <v>100</v>
      </c>
      <c r="HI20" s="116">
        <v>100</v>
      </c>
      <c r="HJ20" s="116">
        <v>1.04</v>
      </c>
      <c r="HK20" s="116">
        <v>1.45</v>
      </c>
      <c r="HL20" s="116">
        <v>0.12</v>
      </c>
      <c r="HM20" s="115"/>
      <c r="HN20" s="115"/>
      <c r="HO20" s="115"/>
      <c r="HP20" s="115"/>
      <c r="HQ20" s="116">
        <v>0</v>
      </c>
      <c r="HR20" s="116">
        <v>0</v>
      </c>
      <c r="HS20" s="115"/>
      <c r="HT20" s="116">
        <v>400</v>
      </c>
      <c r="HU20" s="116">
        <v>100</v>
      </c>
      <c r="HV20" s="116">
        <v>0</v>
      </c>
      <c r="HW20" s="115"/>
      <c r="HX20" s="116">
        <v>0</v>
      </c>
      <c r="HY20" s="116">
        <v>100</v>
      </c>
      <c r="HZ20" s="116">
        <v>164.88</v>
      </c>
      <c r="IA20" s="116">
        <v>361.61</v>
      </c>
      <c r="IB20" s="115"/>
    </row>
    <row r="21" spans="1:236" ht="16" x14ac:dyDescent="0.2">
      <c r="A21" s="114">
        <v>351770</v>
      </c>
      <c r="B21" s="116" t="s">
        <v>379</v>
      </c>
      <c r="C21" s="116" t="s">
        <v>235</v>
      </c>
      <c r="D21" s="116">
        <v>2001</v>
      </c>
      <c r="E21" s="116">
        <v>35177011</v>
      </c>
      <c r="F21" s="116" t="s">
        <v>380</v>
      </c>
      <c r="G21" s="116" t="s">
        <v>381</v>
      </c>
      <c r="H21" s="116" t="s">
        <v>236</v>
      </c>
      <c r="I21" s="116" t="s">
        <v>237</v>
      </c>
      <c r="J21" s="116" t="s">
        <v>382</v>
      </c>
      <c r="K21" s="116">
        <v>1</v>
      </c>
      <c r="L21" s="116">
        <v>0</v>
      </c>
      <c r="M21" s="116">
        <v>0</v>
      </c>
      <c r="N21" s="115"/>
      <c r="O21" s="115"/>
      <c r="P21" s="116">
        <v>1</v>
      </c>
      <c r="Q21" s="116">
        <v>1</v>
      </c>
      <c r="R21" s="116">
        <v>1</v>
      </c>
      <c r="S21" s="116">
        <v>0</v>
      </c>
      <c r="T21" s="116">
        <v>0</v>
      </c>
      <c r="U21" s="115"/>
      <c r="V21" s="115"/>
      <c r="W21" s="116" t="s">
        <v>238</v>
      </c>
      <c r="X21" s="116" t="s">
        <v>238</v>
      </c>
      <c r="Y21" s="115"/>
      <c r="Z21" s="117">
        <v>19244</v>
      </c>
      <c r="AA21" s="117">
        <v>18270</v>
      </c>
      <c r="AB21" s="117">
        <v>18023</v>
      </c>
      <c r="AC21" s="117">
        <v>20000</v>
      </c>
      <c r="AD21" s="117">
        <v>5176</v>
      </c>
      <c r="AE21" s="117">
        <v>4900</v>
      </c>
      <c r="AF21" s="117">
        <v>6170</v>
      </c>
      <c r="AG21" s="117">
        <v>5200</v>
      </c>
      <c r="AH21" s="117">
        <v>5075</v>
      </c>
      <c r="AI21" s="116">
        <v>0</v>
      </c>
      <c r="AJ21" s="116">
        <v>50</v>
      </c>
      <c r="AK21" s="116">
        <v>50</v>
      </c>
      <c r="AL21" s="118">
        <v>2087</v>
      </c>
      <c r="AM21" s="116">
        <v>0</v>
      </c>
      <c r="AN21" s="118">
        <v>1670</v>
      </c>
      <c r="AO21" s="118">
        <v>1670</v>
      </c>
      <c r="AP21" s="118">
        <v>1670</v>
      </c>
      <c r="AQ21" s="118">
        <v>2087</v>
      </c>
      <c r="AR21" s="117">
        <v>5528</v>
      </c>
      <c r="AS21" s="117">
        <v>4100</v>
      </c>
      <c r="AT21" s="117">
        <v>5677</v>
      </c>
      <c r="AU21" s="116">
        <v>0</v>
      </c>
      <c r="AV21" s="118">
        <v>2087</v>
      </c>
      <c r="AW21" s="116">
        <v>0</v>
      </c>
      <c r="AX21" s="116">
        <v>0</v>
      </c>
      <c r="AY21" s="116">
        <v>0</v>
      </c>
      <c r="AZ21" s="118">
        <v>1580</v>
      </c>
      <c r="BA21" s="117">
        <v>5491</v>
      </c>
      <c r="BB21" s="117">
        <v>5300</v>
      </c>
      <c r="BC21" s="117">
        <v>5163</v>
      </c>
      <c r="BD21" s="116">
        <v>0</v>
      </c>
      <c r="BE21" s="116">
        <v>0</v>
      </c>
      <c r="BF21" s="115"/>
      <c r="BG21" s="117">
        <v>18023</v>
      </c>
      <c r="BH21" s="115"/>
      <c r="BI21" s="115"/>
      <c r="BJ21" s="115"/>
      <c r="BK21" s="117">
        <v>18023</v>
      </c>
      <c r="BL21" s="117">
        <v>20000</v>
      </c>
      <c r="BM21" s="117">
        <v>5351</v>
      </c>
      <c r="BN21" s="117">
        <v>5100</v>
      </c>
      <c r="BO21" s="117">
        <v>5677</v>
      </c>
      <c r="BP21" s="117">
        <v>5100</v>
      </c>
      <c r="BQ21" s="116">
        <v>50</v>
      </c>
      <c r="BR21" s="116">
        <v>50</v>
      </c>
      <c r="BS21" s="118">
        <v>1460</v>
      </c>
      <c r="BT21" s="116">
        <v>60</v>
      </c>
      <c r="BU21" s="116">
        <v>835</v>
      </c>
      <c r="BV21" s="117">
        <v>5251</v>
      </c>
      <c r="BW21" s="117">
        <v>5100</v>
      </c>
      <c r="BX21" s="117">
        <v>5351</v>
      </c>
      <c r="BY21" s="117">
        <v>5100</v>
      </c>
      <c r="BZ21" s="115"/>
      <c r="CA21" s="115"/>
      <c r="CB21" s="115"/>
      <c r="CC21" s="115"/>
      <c r="CD21" s="115"/>
      <c r="CE21" s="117">
        <v>18023</v>
      </c>
      <c r="CF21" s="115"/>
      <c r="CG21" s="115"/>
      <c r="CH21" s="118">
        <v>1020000</v>
      </c>
      <c r="CI21" s="118">
        <v>679200</v>
      </c>
      <c r="CJ21" s="118">
        <v>340800</v>
      </c>
      <c r="CK21" s="118">
        <v>153000</v>
      </c>
      <c r="CL21" s="118">
        <v>1173000</v>
      </c>
      <c r="CM21" s="118">
        <v>879750</v>
      </c>
      <c r="CN21" s="116">
        <v>0</v>
      </c>
      <c r="CO21" s="118">
        <v>293250</v>
      </c>
      <c r="CP21" s="118">
        <v>155925</v>
      </c>
      <c r="CQ21" s="118">
        <v>192000</v>
      </c>
      <c r="CR21" s="118">
        <v>7200</v>
      </c>
      <c r="CS21" s="118">
        <v>324000</v>
      </c>
      <c r="CT21" s="118">
        <v>42000</v>
      </c>
      <c r="CU21" s="118">
        <v>625318</v>
      </c>
      <c r="CV21" s="116">
        <v>0</v>
      </c>
      <c r="CW21" s="118">
        <v>797908</v>
      </c>
      <c r="CX21" s="116">
        <v>0</v>
      </c>
      <c r="CY21" s="116">
        <v>47</v>
      </c>
      <c r="CZ21" s="116">
        <v>0</v>
      </c>
      <c r="DA21" s="118">
        <v>60118</v>
      </c>
      <c r="DB21" s="118">
        <v>44432</v>
      </c>
      <c r="DC21" s="118">
        <v>340000</v>
      </c>
      <c r="DD21" s="116">
        <v>0</v>
      </c>
      <c r="DE21" s="118">
        <v>30000</v>
      </c>
      <c r="DF21" s="116">
        <v>23</v>
      </c>
      <c r="DG21" s="116">
        <v>22</v>
      </c>
      <c r="DH21" s="116">
        <v>0</v>
      </c>
      <c r="DI21" s="118">
        <v>128111</v>
      </c>
      <c r="DJ21" s="118">
        <v>370000</v>
      </c>
      <c r="DK21" s="116">
        <v>0</v>
      </c>
      <c r="DL21" s="116">
        <v>0</v>
      </c>
      <c r="DM21" s="118">
        <v>370000</v>
      </c>
      <c r="DN21" s="116">
        <v>0</v>
      </c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6">
        <v>1</v>
      </c>
      <c r="EL21" s="116">
        <v>48</v>
      </c>
      <c r="EM21" s="117">
        <v>1500</v>
      </c>
      <c r="EN21" s="116">
        <v>960</v>
      </c>
      <c r="EO21" s="116">
        <v>0</v>
      </c>
      <c r="EP21" s="116">
        <v>60</v>
      </c>
      <c r="EQ21" s="116">
        <v>0</v>
      </c>
      <c r="ER21" s="116">
        <v>0</v>
      </c>
      <c r="ES21" s="116">
        <v>0</v>
      </c>
      <c r="ET21" s="116">
        <v>0</v>
      </c>
      <c r="EU21" s="116">
        <v>60</v>
      </c>
      <c r="EV21" s="116">
        <v>240</v>
      </c>
      <c r="EW21" s="116">
        <v>0</v>
      </c>
      <c r="EX21" s="116">
        <v>0</v>
      </c>
      <c r="EY21" s="117">
        <v>1850</v>
      </c>
      <c r="EZ21" s="117">
        <v>1020</v>
      </c>
      <c r="FA21" s="115"/>
      <c r="FB21" s="115"/>
      <c r="FC21" s="115"/>
      <c r="FD21" s="115"/>
      <c r="FE21" s="116">
        <v>1.1200000000000001</v>
      </c>
      <c r="FF21" s="116">
        <v>492.15</v>
      </c>
      <c r="FG21" s="116">
        <v>0.31</v>
      </c>
      <c r="FH21" s="116">
        <v>0.4</v>
      </c>
      <c r="FI21" s="116">
        <v>0.4</v>
      </c>
      <c r="FJ21" s="116">
        <v>0.4</v>
      </c>
      <c r="FK21" s="116">
        <v>29.32</v>
      </c>
      <c r="FL21" s="118">
        <v>8533.33</v>
      </c>
      <c r="FM21" s="116">
        <v>50.36</v>
      </c>
      <c r="FN21" s="116">
        <v>80.010000000000005</v>
      </c>
      <c r="FO21" s="116">
        <v>100</v>
      </c>
      <c r="FP21" s="116">
        <v>127.83</v>
      </c>
      <c r="FQ21" s="116">
        <v>19.98</v>
      </c>
      <c r="FR21" s="116">
        <v>49</v>
      </c>
      <c r="FS21" s="116">
        <v>87.42</v>
      </c>
      <c r="FT21" s="116">
        <v>4.0999999999999996</v>
      </c>
      <c r="FU21" s="116">
        <v>24.5</v>
      </c>
      <c r="FV21" s="116">
        <v>27</v>
      </c>
      <c r="FW21" s="116">
        <v>403.81</v>
      </c>
      <c r="FX21" s="116">
        <v>9.3000000000000007</v>
      </c>
      <c r="FY21" s="116">
        <v>9.56</v>
      </c>
      <c r="FZ21" s="116">
        <v>240.7</v>
      </c>
      <c r="GA21" s="116">
        <v>98.4</v>
      </c>
      <c r="GB21" s="116">
        <v>98.36</v>
      </c>
      <c r="GC21" s="116">
        <v>30.6</v>
      </c>
      <c r="GD21" s="116">
        <v>0.24</v>
      </c>
      <c r="GE21" s="116">
        <v>56.46</v>
      </c>
      <c r="GF21" s="116">
        <v>80.010000000000005</v>
      </c>
      <c r="GG21" s="116">
        <v>25</v>
      </c>
      <c r="GH21" s="116">
        <v>61.3</v>
      </c>
      <c r="GI21" s="116">
        <v>18.82</v>
      </c>
      <c r="GJ21" s="116">
        <v>22.94</v>
      </c>
      <c r="GK21" s="116">
        <v>0</v>
      </c>
      <c r="GL21" s="116">
        <v>0</v>
      </c>
      <c r="GM21" s="116">
        <v>30.7</v>
      </c>
      <c r="GN21" s="116">
        <v>37.42</v>
      </c>
      <c r="GO21" s="116">
        <v>51.81</v>
      </c>
      <c r="GP21" s="116">
        <v>1.1499999999999999</v>
      </c>
      <c r="GQ21" s="116">
        <v>0</v>
      </c>
      <c r="GR21" s="116">
        <v>57.9</v>
      </c>
      <c r="GS21" s="116">
        <v>29.05</v>
      </c>
      <c r="GT21" s="116">
        <v>13.04</v>
      </c>
      <c r="GU21" s="116">
        <v>84.67</v>
      </c>
      <c r="GV21" s="116">
        <v>100</v>
      </c>
      <c r="GW21" s="116">
        <v>4.46</v>
      </c>
      <c r="GX21" s="116">
        <v>3.59</v>
      </c>
      <c r="GY21" s="116">
        <v>98.36</v>
      </c>
      <c r="GZ21" s="116">
        <v>2.19</v>
      </c>
      <c r="HA21" s="116">
        <v>19.98</v>
      </c>
      <c r="HB21" s="116">
        <v>22.84</v>
      </c>
      <c r="HC21" s="116">
        <v>226.76</v>
      </c>
      <c r="HD21" s="116">
        <v>80.010000000000005</v>
      </c>
      <c r="HE21" s="116">
        <v>24.5</v>
      </c>
      <c r="HF21" s="116">
        <v>104</v>
      </c>
      <c r="HG21" s="116">
        <v>93.65</v>
      </c>
      <c r="HH21" s="116">
        <v>93.65</v>
      </c>
      <c r="HI21" s="115"/>
      <c r="HJ21" s="115"/>
      <c r="HK21" s="115"/>
      <c r="HL21" s="115"/>
      <c r="HM21" s="118">
        <v>1500</v>
      </c>
      <c r="HN21" s="116">
        <v>48</v>
      </c>
      <c r="HO21" s="115"/>
      <c r="HP21" s="115"/>
      <c r="HQ21" s="116">
        <v>0</v>
      </c>
      <c r="HR21" s="116">
        <v>0</v>
      </c>
      <c r="HS21" s="115"/>
      <c r="HT21" s="116">
        <v>400</v>
      </c>
      <c r="HU21" s="116">
        <v>100</v>
      </c>
      <c r="HV21" s="116">
        <v>0</v>
      </c>
      <c r="HW21" s="115"/>
      <c r="HX21" s="115"/>
      <c r="HY21" s="115"/>
      <c r="HZ21" s="115"/>
      <c r="IA21" s="115"/>
      <c r="IB21" s="115"/>
    </row>
    <row r="22" spans="1:236" ht="16" x14ac:dyDescent="0.2">
      <c r="A22" s="114">
        <v>351770</v>
      </c>
      <c r="B22" s="116" t="s">
        <v>379</v>
      </c>
      <c r="C22" s="116" t="s">
        <v>235</v>
      </c>
      <c r="D22" s="116">
        <v>2000</v>
      </c>
      <c r="E22" s="116">
        <v>35177011</v>
      </c>
      <c r="F22" s="116" t="s">
        <v>380</v>
      </c>
      <c r="G22" s="116" t="s">
        <v>381</v>
      </c>
      <c r="H22" s="116" t="s">
        <v>236</v>
      </c>
      <c r="I22" s="116" t="s">
        <v>237</v>
      </c>
      <c r="J22" s="116" t="s">
        <v>382</v>
      </c>
      <c r="K22" s="116">
        <v>1</v>
      </c>
      <c r="L22" s="116">
        <v>0</v>
      </c>
      <c r="M22" s="116">
        <v>0</v>
      </c>
      <c r="N22" s="115"/>
      <c r="O22" s="115"/>
      <c r="P22" s="116">
        <v>1</v>
      </c>
      <c r="Q22" s="116">
        <v>1</v>
      </c>
      <c r="R22" s="116">
        <v>1</v>
      </c>
      <c r="S22" s="116">
        <v>0</v>
      </c>
      <c r="T22" s="116">
        <v>0</v>
      </c>
      <c r="U22" s="115"/>
      <c r="V22" s="115"/>
      <c r="W22" s="116" t="s">
        <v>238</v>
      </c>
      <c r="X22" s="116" t="s">
        <v>238</v>
      </c>
      <c r="Y22" s="115"/>
      <c r="Z22" s="117">
        <v>18916</v>
      </c>
      <c r="AA22" s="117">
        <v>17959</v>
      </c>
      <c r="AB22" s="117">
        <v>20000</v>
      </c>
      <c r="AC22" s="115"/>
      <c r="AD22" s="117">
        <v>4900</v>
      </c>
      <c r="AE22" s="115"/>
      <c r="AF22" s="117">
        <v>5200</v>
      </c>
      <c r="AG22" s="115"/>
      <c r="AH22" s="116">
        <v>0</v>
      </c>
      <c r="AI22" s="115"/>
      <c r="AJ22" s="116">
        <v>50</v>
      </c>
      <c r="AK22" s="115"/>
      <c r="AL22" s="118">
        <v>2880</v>
      </c>
      <c r="AM22" s="116">
        <v>0</v>
      </c>
      <c r="AN22" s="116">
        <v>0</v>
      </c>
      <c r="AO22" s="118">
        <v>2880</v>
      </c>
      <c r="AP22" s="116">
        <v>864</v>
      </c>
      <c r="AQ22" s="116">
        <v>0</v>
      </c>
      <c r="AR22" s="117">
        <v>4100</v>
      </c>
      <c r="AS22" s="115"/>
      <c r="AT22" s="116">
        <v>0</v>
      </c>
      <c r="AU22" s="115"/>
      <c r="AV22" s="118">
        <v>2880</v>
      </c>
      <c r="AW22" s="116">
        <v>0</v>
      </c>
      <c r="AX22" s="116">
        <v>0</v>
      </c>
      <c r="AY22" s="116">
        <v>0</v>
      </c>
      <c r="AZ22" s="116">
        <v>0</v>
      </c>
      <c r="BA22" s="117">
        <v>5300</v>
      </c>
      <c r="BB22" s="115"/>
      <c r="BC22" s="116">
        <v>0</v>
      </c>
      <c r="BD22" s="115"/>
      <c r="BE22" s="116">
        <v>0</v>
      </c>
      <c r="BF22" s="115"/>
      <c r="BG22" s="115"/>
      <c r="BH22" s="115"/>
      <c r="BI22" s="115"/>
      <c r="BJ22" s="115"/>
      <c r="BK22" s="117">
        <v>20000</v>
      </c>
      <c r="BL22" s="115"/>
      <c r="BM22" s="117">
        <v>5100</v>
      </c>
      <c r="BN22" s="115"/>
      <c r="BO22" s="117">
        <v>5100</v>
      </c>
      <c r="BP22" s="115"/>
      <c r="BQ22" s="116">
        <v>50</v>
      </c>
      <c r="BR22" s="115"/>
      <c r="BS22" s="118">
        <v>2000</v>
      </c>
      <c r="BT22" s="116">
        <v>0</v>
      </c>
      <c r="BU22" s="116">
        <v>432</v>
      </c>
      <c r="BV22" s="117">
        <v>5100</v>
      </c>
      <c r="BW22" s="115"/>
      <c r="BX22" s="117">
        <v>5100</v>
      </c>
      <c r="BY22" s="115"/>
      <c r="BZ22" s="115"/>
      <c r="CA22" s="115"/>
      <c r="CB22" s="115"/>
      <c r="CC22" s="115"/>
      <c r="CD22" s="115"/>
      <c r="CE22" s="115"/>
      <c r="CF22" s="115"/>
      <c r="CG22" s="115"/>
      <c r="CH22" s="118">
        <v>472500</v>
      </c>
      <c r="CI22" s="118">
        <v>315000</v>
      </c>
      <c r="CJ22" s="118">
        <v>157500</v>
      </c>
      <c r="CK22" s="118">
        <v>47250</v>
      </c>
      <c r="CL22" s="118">
        <v>519750</v>
      </c>
      <c r="CM22" s="118">
        <v>363925</v>
      </c>
      <c r="CN22" s="116">
        <v>0</v>
      </c>
      <c r="CO22" s="118">
        <v>155925</v>
      </c>
      <c r="CP22" s="115"/>
      <c r="CQ22" s="118">
        <v>154000</v>
      </c>
      <c r="CR22" s="118">
        <v>5180</v>
      </c>
      <c r="CS22" s="118">
        <v>203000</v>
      </c>
      <c r="CT22" s="118">
        <v>8750</v>
      </c>
      <c r="CU22" s="118">
        <v>372680</v>
      </c>
      <c r="CV22" s="116">
        <v>0</v>
      </c>
      <c r="CW22" s="118">
        <v>372680</v>
      </c>
      <c r="CX22" s="116">
        <v>0</v>
      </c>
      <c r="CY22" s="116">
        <v>0</v>
      </c>
      <c r="CZ22" s="116">
        <v>0</v>
      </c>
      <c r="DA22" s="118">
        <v>1750</v>
      </c>
      <c r="DB22" s="116">
        <v>0</v>
      </c>
      <c r="DC22" s="118">
        <v>140000</v>
      </c>
      <c r="DD22" s="116">
        <v>0</v>
      </c>
      <c r="DE22" s="116">
        <v>0</v>
      </c>
      <c r="DF22" s="116">
        <v>22</v>
      </c>
      <c r="DG22" s="115"/>
      <c r="DH22" s="116">
        <v>0</v>
      </c>
      <c r="DI22" s="116">
        <v>0</v>
      </c>
      <c r="DJ22" s="118">
        <v>140000</v>
      </c>
      <c r="DK22" s="116">
        <v>0</v>
      </c>
      <c r="DL22" s="116">
        <v>0</v>
      </c>
      <c r="DM22" s="118">
        <v>140000</v>
      </c>
      <c r="DN22" s="116">
        <v>0</v>
      </c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6">
        <v>6</v>
      </c>
      <c r="EL22" s="116">
        <v>8</v>
      </c>
      <c r="EM22" s="116">
        <v>800</v>
      </c>
      <c r="EN22" s="116">
        <v>180</v>
      </c>
      <c r="EO22" s="116">
        <v>3</v>
      </c>
      <c r="EP22" s="116">
        <v>30</v>
      </c>
      <c r="EQ22" s="116">
        <v>2</v>
      </c>
      <c r="ER22" s="115"/>
      <c r="ES22" s="115"/>
      <c r="ET22" s="115"/>
      <c r="EU22" s="116">
        <v>30</v>
      </c>
      <c r="EV22" s="116">
        <v>120</v>
      </c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6">
        <v>0.28000000000000003</v>
      </c>
      <c r="FH22" s="116">
        <v>0.36</v>
      </c>
      <c r="FI22" s="116">
        <v>0.36</v>
      </c>
      <c r="FJ22" s="116">
        <v>0.36</v>
      </c>
      <c r="FK22" s="116">
        <v>43.67</v>
      </c>
      <c r="FL22" s="115"/>
      <c r="FM22" s="115"/>
      <c r="FN22" s="116">
        <v>0</v>
      </c>
      <c r="FO22" s="116">
        <v>0</v>
      </c>
      <c r="FP22" s="116">
        <v>126.78</v>
      </c>
      <c r="FQ22" s="116">
        <v>70</v>
      </c>
      <c r="FR22" s="115"/>
      <c r="FS22" s="116">
        <v>69.44</v>
      </c>
      <c r="FT22" s="116">
        <v>0</v>
      </c>
      <c r="FU22" s="115"/>
      <c r="FV22" s="115"/>
      <c r="FW22" s="115"/>
      <c r="FX22" s="115"/>
      <c r="FY22" s="115"/>
      <c r="FZ22" s="115"/>
      <c r="GA22" s="116">
        <v>100</v>
      </c>
      <c r="GB22" s="116">
        <v>100</v>
      </c>
      <c r="GC22" s="115"/>
      <c r="GD22" s="116">
        <v>0.28000000000000003</v>
      </c>
      <c r="GE22" s="115"/>
      <c r="GF22" s="116">
        <v>30</v>
      </c>
      <c r="GG22" s="116">
        <v>29.98</v>
      </c>
      <c r="GH22" s="116">
        <v>78.87</v>
      </c>
      <c r="GI22" s="116">
        <v>32.590000000000003</v>
      </c>
      <c r="GJ22" s="116">
        <v>34.44</v>
      </c>
      <c r="GK22" s="116">
        <v>0</v>
      </c>
      <c r="GL22" s="116">
        <v>0</v>
      </c>
      <c r="GM22" s="116">
        <v>41.32</v>
      </c>
      <c r="GN22" s="116">
        <v>43.67</v>
      </c>
      <c r="GO22" s="116">
        <v>54.47</v>
      </c>
      <c r="GP22" s="116">
        <v>1.38</v>
      </c>
      <c r="GQ22" s="116">
        <v>0</v>
      </c>
      <c r="GR22" s="116">
        <v>60.6</v>
      </c>
      <c r="GS22" s="116">
        <v>30.3</v>
      </c>
      <c r="GT22" s="116">
        <v>9.09</v>
      </c>
      <c r="GU22" s="115"/>
      <c r="GV22" s="116">
        <v>0</v>
      </c>
      <c r="GW22" s="115"/>
      <c r="GX22" s="116">
        <v>0</v>
      </c>
      <c r="GY22" s="116">
        <v>111.33</v>
      </c>
      <c r="GZ22" s="115"/>
      <c r="HA22" s="116">
        <v>0</v>
      </c>
      <c r="HB22" s="115"/>
      <c r="HC22" s="115"/>
      <c r="HD22" s="116">
        <v>100</v>
      </c>
      <c r="HE22" s="115"/>
      <c r="HF22" s="116">
        <v>119</v>
      </c>
      <c r="HG22" s="115"/>
      <c r="HH22" s="115"/>
      <c r="HI22" s="115"/>
      <c r="HJ22" s="115"/>
      <c r="HK22" s="115"/>
      <c r="HL22" s="115"/>
      <c r="HM22" s="116">
        <v>133</v>
      </c>
      <c r="HN22" s="116">
        <v>1.33</v>
      </c>
      <c r="HO22" s="115"/>
      <c r="HP22" s="115"/>
      <c r="HQ22" s="116">
        <v>1.66</v>
      </c>
      <c r="HR22" s="116">
        <v>6.66</v>
      </c>
      <c r="HS22" s="115"/>
      <c r="HT22" s="116">
        <v>150</v>
      </c>
      <c r="HU22" s="116">
        <v>100</v>
      </c>
      <c r="HV22" s="115"/>
      <c r="HW22" s="115"/>
      <c r="HX22" s="115"/>
      <c r="HY22" s="115"/>
      <c r="HZ22" s="115"/>
      <c r="IA22" s="115"/>
      <c r="IB22" s="115"/>
    </row>
    <row r="23" spans="1:236" ht="16" x14ac:dyDescent="0.2">
      <c r="A23" s="114">
        <v>351770</v>
      </c>
      <c r="B23" s="116" t="s">
        <v>379</v>
      </c>
      <c r="C23" s="116" t="s">
        <v>235</v>
      </c>
      <c r="D23" s="116">
        <v>1998</v>
      </c>
      <c r="E23" s="116">
        <v>35177011</v>
      </c>
      <c r="F23" s="116" t="s">
        <v>380</v>
      </c>
      <c r="G23" s="116" t="s">
        <v>381</v>
      </c>
      <c r="H23" s="116" t="s">
        <v>236</v>
      </c>
      <c r="I23" s="116" t="s">
        <v>237</v>
      </c>
      <c r="J23" s="116" t="s">
        <v>383</v>
      </c>
      <c r="K23" s="116">
        <v>0</v>
      </c>
      <c r="L23" s="116">
        <v>0</v>
      </c>
      <c r="M23" s="116">
        <v>1</v>
      </c>
      <c r="N23" s="115"/>
      <c r="O23" s="115"/>
      <c r="P23" s="116">
        <v>1</v>
      </c>
      <c r="Q23" s="116">
        <v>1</v>
      </c>
      <c r="R23" s="116">
        <v>0</v>
      </c>
      <c r="S23" s="116">
        <v>0</v>
      </c>
      <c r="T23" s="116">
        <v>1</v>
      </c>
      <c r="U23" s="115"/>
      <c r="V23" s="115"/>
      <c r="W23" s="116" t="s">
        <v>238</v>
      </c>
      <c r="X23" s="116" t="s">
        <v>238</v>
      </c>
      <c r="Y23" s="115"/>
      <c r="Z23" s="117">
        <v>18872</v>
      </c>
      <c r="AA23" s="117">
        <v>18021</v>
      </c>
      <c r="AB23" s="117">
        <v>18110</v>
      </c>
      <c r="AC23" s="117">
        <v>16000</v>
      </c>
      <c r="AD23" s="117">
        <v>4530</v>
      </c>
      <c r="AE23" s="117">
        <v>5039</v>
      </c>
      <c r="AF23" s="117">
        <v>4530</v>
      </c>
      <c r="AG23" s="115"/>
      <c r="AH23" s="117">
        <v>1512</v>
      </c>
      <c r="AI23" s="117">
        <v>1336</v>
      </c>
      <c r="AJ23" s="116">
        <v>51</v>
      </c>
      <c r="AK23" s="116">
        <v>40.5</v>
      </c>
      <c r="AL23" s="118">
        <v>2733.12</v>
      </c>
      <c r="AM23" s="116">
        <v>0</v>
      </c>
      <c r="AN23" s="116">
        <v>551.88</v>
      </c>
      <c r="AO23" s="118">
        <v>2733.1</v>
      </c>
      <c r="AP23" s="116">
        <v>551.9</v>
      </c>
      <c r="AQ23" s="118">
        <v>2733.1</v>
      </c>
      <c r="AR23" s="117">
        <v>4105</v>
      </c>
      <c r="AS23" s="115"/>
      <c r="AT23" s="117">
        <v>1521</v>
      </c>
      <c r="AU23" s="117">
        <v>1336</v>
      </c>
      <c r="AV23" s="118">
        <v>2733.1</v>
      </c>
      <c r="AW23" s="116">
        <v>0</v>
      </c>
      <c r="AX23" s="116">
        <v>0</v>
      </c>
      <c r="AY23" s="116">
        <v>0</v>
      </c>
      <c r="AZ23" s="116">
        <v>489.4</v>
      </c>
      <c r="BA23" s="117">
        <v>4530</v>
      </c>
      <c r="BB23" s="115"/>
      <c r="BC23" s="117">
        <v>1068</v>
      </c>
      <c r="BD23" s="115"/>
      <c r="BE23" s="115"/>
      <c r="BF23" s="115"/>
      <c r="BG23" s="115"/>
      <c r="BH23" s="115"/>
      <c r="BI23" s="115"/>
      <c r="BJ23" s="115"/>
      <c r="BK23" s="117">
        <v>18110</v>
      </c>
      <c r="BL23" s="117">
        <v>16000</v>
      </c>
      <c r="BM23" s="117">
        <v>4530</v>
      </c>
      <c r="BN23" s="117">
        <v>4938</v>
      </c>
      <c r="BO23" s="117">
        <v>4530</v>
      </c>
      <c r="BP23" s="115"/>
      <c r="BQ23" s="116">
        <v>50.9</v>
      </c>
      <c r="BR23" s="116">
        <v>50.33</v>
      </c>
      <c r="BS23" s="118">
        <v>2733.1</v>
      </c>
      <c r="BT23" s="116">
        <v>0</v>
      </c>
      <c r="BU23" s="116">
        <v>551.9</v>
      </c>
      <c r="BV23" s="117">
        <v>4105</v>
      </c>
      <c r="BW23" s="115"/>
      <c r="BX23" s="117">
        <v>4530</v>
      </c>
      <c r="BY23" s="115"/>
      <c r="BZ23" s="115"/>
      <c r="CA23" s="115"/>
      <c r="CB23" s="115"/>
      <c r="CC23" s="115"/>
      <c r="CD23" s="115"/>
      <c r="CE23" s="115"/>
      <c r="CF23" s="115"/>
      <c r="CG23" s="115"/>
      <c r="CH23" s="118">
        <v>379176.3</v>
      </c>
      <c r="CI23" s="118">
        <v>297593.13</v>
      </c>
      <c r="CJ23" s="118">
        <v>81583.17</v>
      </c>
      <c r="CK23" s="116">
        <v>0</v>
      </c>
      <c r="CL23" s="118">
        <v>379176.3</v>
      </c>
      <c r="CM23" s="118">
        <v>227505.78</v>
      </c>
      <c r="CN23" s="116">
        <v>0</v>
      </c>
      <c r="CO23" s="118">
        <v>151670.51999999999</v>
      </c>
      <c r="CP23" s="115"/>
      <c r="CQ23" s="118">
        <v>128963.55</v>
      </c>
      <c r="CR23" s="118">
        <v>5087.25</v>
      </c>
      <c r="CS23" s="118">
        <v>91854.46</v>
      </c>
      <c r="CT23" s="118">
        <v>138759.26999999999</v>
      </c>
      <c r="CU23" s="118">
        <v>364664.53</v>
      </c>
      <c r="CV23" s="116">
        <v>0</v>
      </c>
      <c r="CW23" s="118">
        <v>364664.53</v>
      </c>
      <c r="CX23" s="115"/>
      <c r="CY23" s="116">
        <v>0</v>
      </c>
      <c r="CZ23" s="116">
        <v>0</v>
      </c>
      <c r="DA23" s="115"/>
      <c r="DB23" s="115"/>
      <c r="DC23" s="116">
        <v>572.54</v>
      </c>
      <c r="DD23" s="118">
        <v>1692.52</v>
      </c>
      <c r="DE23" s="116">
        <v>0</v>
      </c>
      <c r="DF23" s="116">
        <v>6</v>
      </c>
      <c r="DG23" s="115"/>
      <c r="DH23" s="116">
        <v>0</v>
      </c>
      <c r="DI23" s="116">
        <v>0</v>
      </c>
      <c r="DJ23" s="118">
        <v>2265.06</v>
      </c>
      <c r="DK23" s="116">
        <v>0</v>
      </c>
      <c r="DL23" s="116">
        <v>0</v>
      </c>
      <c r="DM23" s="118">
        <v>2265.06</v>
      </c>
      <c r="DN23" s="116">
        <v>0</v>
      </c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6">
        <v>18</v>
      </c>
      <c r="EL23" s="116">
        <v>58</v>
      </c>
      <c r="EM23" s="117">
        <v>3822</v>
      </c>
      <c r="EN23" s="117">
        <v>4320</v>
      </c>
      <c r="EO23" s="116">
        <v>82</v>
      </c>
      <c r="EP23" s="116">
        <v>96</v>
      </c>
      <c r="EQ23" s="116">
        <v>0</v>
      </c>
      <c r="ER23" s="116">
        <v>135</v>
      </c>
      <c r="ES23" s="116">
        <v>138</v>
      </c>
      <c r="ET23" s="117">
        <v>4530</v>
      </c>
      <c r="EU23" s="115"/>
      <c r="EV23" s="115"/>
      <c r="EW23" s="115"/>
      <c r="EX23" s="116">
        <v>38</v>
      </c>
      <c r="EY23" s="115"/>
      <c r="EZ23" s="115"/>
      <c r="FA23" s="115"/>
      <c r="FB23" s="115"/>
      <c r="FC23" s="115"/>
      <c r="FD23" s="115"/>
      <c r="FE23" s="116">
        <v>0.94</v>
      </c>
      <c r="FF23" s="118">
        <v>1510</v>
      </c>
      <c r="FG23" s="116">
        <v>0.33</v>
      </c>
      <c r="FH23" s="116">
        <v>0.34</v>
      </c>
      <c r="FI23" s="116">
        <v>0.53</v>
      </c>
      <c r="FJ23" s="116">
        <v>0.14000000000000001</v>
      </c>
      <c r="FK23" s="116">
        <v>73.41</v>
      </c>
      <c r="FL23" s="118">
        <v>21493.93</v>
      </c>
      <c r="FM23" s="116">
        <v>29.76</v>
      </c>
      <c r="FN23" s="116">
        <v>20.190000000000001</v>
      </c>
      <c r="FO23" s="116">
        <v>99.99</v>
      </c>
      <c r="FP23" s="116">
        <v>103.97</v>
      </c>
      <c r="FQ23" s="116">
        <v>79.8</v>
      </c>
      <c r="FR23" s="116">
        <v>32.200000000000003</v>
      </c>
      <c r="FS23" s="116">
        <v>100</v>
      </c>
      <c r="FT23" s="116">
        <v>0</v>
      </c>
      <c r="FU23" s="116">
        <v>10.199999999999999</v>
      </c>
      <c r="FV23" s="116">
        <v>12</v>
      </c>
      <c r="FW23" s="116">
        <v>727.37</v>
      </c>
      <c r="FX23" s="116">
        <v>11.3</v>
      </c>
      <c r="FY23" s="116">
        <v>11.23</v>
      </c>
      <c r="FZ23" s="116">
        <v>439</v>
      </c>
      <c r="GA23" s="116">
        <v>100</v>
      </c>
      <c r="GB23" s="116">
        <v>100</v>
      </c>
      <c r="GC23" s="116">
        <v>50.3</v>
      </c>
      <c r="GD23" s="116">
        <v>0.33</v>
      </c>
      <c r="GE23" s="116">
        <v>40.24</v>
      </c>
      <c r="GF23" s="116">
        <v>20.190000000000001</v>
      </c>
      <c r="GG23" s="116">
        <v>40</v>
      </c>
      <c r="GH23" s="116">
        <v>96.17</v>
      </c>
      <c r="GI23" s="116">
        <v>34.01</v>
      </c>
      <c r="GJ23" s="116">
        <v>70.599999999999994</v>
      </c>
      <c r="GK23" s="116">
        <v>0</v>
      </c>
      <c r="GL23" s="116">
        <v>0</v>
      </c>
      <c r="GM23" s="116">
        <v>35.36</v>
      </c>
      <c r="GN23" s="116">
        <v>73.41</v>
      </c>
      <c r="GO23" s="116">
        <v>25.18</v>
      </c>
      <c r="GP23" s="116">
        <v>1.39</v>
      </c>
      <c r="GQ23" s="116">
        <v>0</v>
      </c>
      <c r="GR23" s="116">
        <v>78.48</v>
      </c>
      <c r="GS23" s="116">
        <v>21.51</v>
      </c>
      <c r="GT23" s="116">
        <v>0</v>
      </c>
      <c r="GU23" s="116">
        <v>90.61</v>
      </c>
      <c r="GV23" s="116">
        <v>20.190000000000001</v>
      </c>
      <c r="GW23" s="116">
        <v>1.25</v>
      </c>
      <c r="GX23" s="116">
        <v>0</v>
      </c>
      <c r="GY23" s="116">
        <v>100</v>
      </c>
      <c r="GZ23" s="116">
        <v>0.63</v>
      </c>
      <c r="HA23" s="116">
        <v>0</v>
      </c>
      <c r="HB23" s="116">
        <v>0</v>
      </c>
      <c r="HC23" s="116">
        <v>0.01</v>
      </c>
      <c r="HD23" s="116">
        <v>99.99</v>
      </c>
      <c r="HE23" s="116">
        <v>50.3</v>
      </c>
      <c r="HF23" s="116">
        <v>144</v>
      </c>
      <c r="HG23" s="115"/>
      <c r="HH23" s="115"/>
      <c r="HI23" s="115"/>
      <c r="HJ23" s="115"/>
      <c r="HK23" s="115"/>
      <c r="HL23" s="115"/>
      <c r="HM23" s="116">
        <v>212</v>
      </c>
      <c r="HN23" s="116">
        <v>3.22</v>
      </c>
      <c r="HO23" s="115"/>
      <c r="HP23" s="115"/>
      <c r="HQ23" s="116">
        <v>1.89</v>
      </c>
      <c r="HR23" s="116">
        <v>0</v>
      </c>
      <c r="HS23" s="116">
        <v>1.02</v>
      </c>
      <c r="HT23" s="115"/>
      <c r="HU23" s="115"/>
      <c r="HV23" s="115"/>
      <c r="HW23" s="115"/>
      <c r="HX23" s="115"/>
      <c r="HY23" s="115"/>
      <c r="HZ23" s="115"/>
      <c r="IA23" s="115"/>
      <c r="IB23" s="115"/>
    </row>
    <row r="24" spans="1:236" ht="16" x14ac:dyDescent="0.2">
      <c r="A24" s="114">
        <v>351770</v>
      </c>
      <c r="B24" s="116" t="s">
        <v>379</v>
      </c>
      <c r="C24" s="116" t="s">
        <v>235</v>
      </c>
      <c r="D24" s="116">
        <v>1997</v>
      </c>
      <c r="E24" s="116">
        <v>35177011</v>
      </c>
      <c r="F24" s="116" t="s">
        <v>380</v>
      </c>
      <c r="G24" s="116" t="s">
        <v>381</v>
      </c>
      <c r="H24" s="116" t="s">
        <v>236</v>
      </c>
      <c r="I24" s="116" t="s">
        <v>237</v>
      </c>
      <c r="J24" s="116" t="s">
        <v>383</v>
      </c>
      <c r="K24" s="116">
        <v>0</v>
      </c>
      <c r="L24" s="116">
        <v>0</v>
      </c>
      <c r="M24" s="116">
        <v>1</v>
      </c>
      <c r="N24" s="115"/>
      <c r="O24" s="115"/>
      <c r="P24" s="116">
        <v>1</v>
      </c>
      <c r="Q24" s="116">
        <v>1</v>
      </c>
      <c r="R24" s="116">
        <v>0</v>
      </c>
      <c r="S24" s="116">
        <v>0</v>
      </c>
      <c r="T24" s="116">
        <v>1</v>
      </c>
      <c r="U24" s="115"/>
      <c r="V24" s="115"/>
      <c r="W24" s="116" t="s">
        <v>238</v>
      </c>
      <c r="X24" s="116" t="s">
        <v>238</v>
      </c>
      <c r="Y24" s="115"/>
      <c r="Z24" s="117">
        <v>18571</v>
      </c>
      <c r="AA24" s="117">
        <v>17734</v>
      </c>
      <c r="AB24" s="117">
        <v>16000</v>
      </c>
      <c r="AC24" s="115"/>
      <c r="AD24" s="117">
        <v>5039</v>
      </c>
      <c r="AE24" s="115"/>
      <c r="AF24" s="115"/>
      <c r="AG24" s="115"/>
      <c r="AH24" s="117">
        <v>1336</v>
      </c>
      <c r="AI24" s="115"/>
      <c r="AJ24" s="116">
        <v>40.5</v>
      </c>
      <c r="AK24" s="115"/>
      <c r="AL24" s="118">
        <v>2733.12</v>
      </c>
      <c r="AM24" s="116">
        <v>0</v>
      </c>
      <c r="AN24" s="116">
        <v>503.7</v>
      </c>
      <c r="AO24" s="118">
        <v>2733.12</v>
      </c>
      <c r="AP24" s="115"/>
      <c r="AQ24" s="118">
        <v>2733.12</v>
      </c>
      <c r="AR24" s="115"/>
      <c r="AS24" s="115"/>
      <c r="AT24" s="117">
        <v>1336</v>
      </c>
      <c r="AU24" s="115"/>
      <c r="AV24" s="118">
        <v>2733.12</v>
      </c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7">
        <v>16000</v>
      </c>
      <c r="BL24" s="115"/>
      <c r="BM24" s="117">
        <v>4938</v>
      </c>
      <c r="BN24" s="115"/>
      <c r="BO24" s="115"/>
      <c r="BP24" s="115"/>
      <c r="BQ24" s="116">
        <v>50.33</v>
      </c>
      <c r="BR24" s="115"/>
      <c r="BS24" s="118">
        <v>2384.1799999999998</v>
      </c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8">
        <v>371741.48</v>
      </c>
      <c r="CI24" s="118">
        <v>291757.98</v>
      </c>
      <c r="CJ24" s="118">
        <v>79983.5</v>
      </c>
      <c r="CK24" s="116">
        <v>0</v>
      </c>
      <c r="CL24" s="118">
        <v>371741.48</v>
      </c>
      <c r="CM24" s="118">
        <v>371741.48</v>
      </c>
      <c r="CN24" s="115"/>
      <c r="CO24" s="115"/>
      <c r="CP24" s="115"/>
      <c r="CQ24" s="118">
        <v>126434.86</v>
      </c>
      <c r="CR24" s="118">
        <v>4987.5</v>
      </c>
      <c r="CS24" s="118">
        <v>188092.61</v>
      </c>
      <c r="CT24" s="118">
        <v>37999.29</v>
      </c>
      <c r="CU24" s="115"/>
      <c r="CV24" s="115"/>
      <c r="CW24" s="115"/>
      <c r="CX24" s="115"/>
      <c r="CY24" s="115"/>
      <c r="CZ24" s="116">
        <v>0</v>
      </c>
      <c r="DA24" s="115"/>
      <c r="DB24" s="115"/>
      <c r="DC24" s="116">
        <v>561.32000000000005</v>
      </c>
      <c r="DD24" s="118">
        <v>1659.34</v>
      </c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6">
        <v>26.51</v>
      </c>
      <c r="FN24" s="116">
        <v>18.420000000000002</v>
      </c>
      <c r="FO24" s="116">
        <v>100</v>
      </c>
      <c r="FP24" s="115"/>
      <c r="FQ24" s="115"/>
      <c r="FR24" s="116">
        <v>31.4</v>
      </c>
      <c r="FS24" s="116">
        <v>87.23</v>
      </c>
      <c r="FT24" s="115"/>
      <c r="FU24" s="115"/>
      <c r="FV24" s="115"/>
      <c r="FW24" s="115"/>
      <c r="FX24" s="116">
        <v>8</v>
      </c>
      <c r="FY24" s="116">
        <v>10.19</v>
      </c>
      <c r="FZ24" s="116">
        <v>468</v>
      </c>
      <c r="GA24" s="116">
        <v>92.2</v>
      </c>
      <c r="GB24" s="116">
        <v>92.15</v>
      </c>
      <c r="GC24" s="115"/>
      <c r="GD24" s="115"/>
      <c r="GE24" s="115"/>
      <c r="GF24" s="115"/>
      <c r="GG24" s="116">
        <v>0</v>
      </c>
      <c r="GH24" s="115"/>
      <c r="GI24" s="116">
        <v>34.01</v>
      </c>
      <c r="GJ24" s="116">
        <v>44.23</v>
      </c>
      <c r="GK24" s="115"/>
      <c r="GL24" s="115"/>
      <c r="GM24" s="115"/>
      <c r="GN24" s="115"/>
      <c r="GO24" s="115"/>
      <c r="GP24" s="115"/>
      <c r="GQ24" s="115"/>
      <c r="GR24" s="116">
        <v>78.48</v>
      </c>
      <c r="GS24" s="116">
        <v>21.51</v>
      </c>
      <c r="GT24" s="116">
        <v>0</v>
      </c>
      <c r="GU24" s="115"/>
      <c r="GV24" s="116">
        <v>18.420000000000002</v>
      </c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6BCFC-77AA-D443-A033-EEA7B933FFD5}">
  <dimension ref="A2:L448"/>
  <sheetViews>
    <sheetView topLeftCell="A316" workbookViewId="0">
      <selection activeCell="B369" sqref="B369"/>
    </sheetView>
  </sheetViews>
  <sheetFormatPr baseColWidth="10" defaultRowHeight="14" x14ac:dyDescent="0.2"/>
  <cols>
    <col min="1" max="2" width="12.796875" style="30" customWidth="1"/>
    <col min="3" max="3" width="21" style="31" customWidth="1"/>
    <col min="4" max="4" width="12.796875" style="30" customWidth="1"/>
    <col min="5" max="5" width="12.19921875" style="30" customWidth="1"/>
    <col min="6" max="7" width="12.796875" style="30" customWidth="1"/>
    <col min="8" max="8" width="12.796875" style="32" customWidth="1"/>
  </cols>
  <sheetData>
    <row r="2" spans="1:12" ht="17" x14ac:dyDescent="0.25">
      <c r="A2" s="105" t="s">
        <v>350</v>
      </c>
      <c r="B2" s="105"/>
      <c r="C2" s="105"/>
      <c r="D2" s="105"/>
      <c r="E2" s="105"/>
      <c r="F2" s="105"/>
      <c r="G2" s="105"/>
      <c r="H2" s="105"/>
    </row>
    <row r="3" spans="1:12" ht="15" thickBot="1" x14ac:dyDescent="0.25">
      <c r="A3" s="33"/>
      <c r="B3" s="33"/>
      <c r="C3" s="34"/>
      <c r="D3" s="33"/>
      <c r="E3" s="33"/>
      <c r="F3" s="33"/>
      <c r="G3" s="33"/>
      <c r="H3" s="35" t="s">
        <v>351</v>
      </c>
    </row>
    <row r="4" spans="1:12" ht="15" thickTop="1" x14ac:dyDescent="0.2">
      <c r="A4" s="36"/>
      <c r="B4" s="36"/>
      <c r="C4" s="37"/>
      <c r="D4" s="38"/>
      <c r="E4" s="39"/>
      <c r="F4" s="39" t="s">
        <v>352</v>
      </c>
      <c r="G4" s="39"/>
      <c r="H4" s="40"/>
    </row>
    <row r="5" spans="1:12" x14ac:dyDescent="0.2">
      <c r="A5" s="41" t="s">
        <v>353</v>
      </c>
      <c r="B5" s="42" t="s">
        <v>354</v>
      </c>
      <c r="C5" s="43" t="s">
        <v>355</v>
      </c>
      <c r="D5" s="103" t="s">
        <v>356</v>
      </c>
      <c r="E5" s="103"/>
      <c r="F5" s="103"/>
      <c r="G5" s="103"/>
      <c r="H5" s="103"/>
    </row>
    <row r="6" spans="1:12" x14ac:dyDescent="0.2">
      <c r="A6" s="41"/>
      <c r="B6" s="42"/>
      <c r="C6" s="44" t="s">
        <v>357</v>
      </c>
      <c r="D6" s="45" t="s">
        <v>358</v>
      </c>
      <c r="E6" s="45">
        <v>3</v>
      </c>
      <c r="F6" s="45">
        <v>6</v>
      </c>
      <c r="G6" s="45" t="s">
        <v>358</v>
      </c>
      <c r="H6" s="46">
        <v>12</v>
      </c>
    </row>
    <row r="7" spans="1:12" ht="15" thickBot="1" x14ac:dyDescent="0.25">
      <c r="A7" s="47"/>
      <c r="B7" s="47"/>
      <c r="C7" s="48"/>
      <c r="D7" s="49" t="s">
        <v>354</v>
      </c>
      <c r="E7" s="50" t="s">
        <v>359</v>
      </c>
      <c r="F7" s="50" t="s">
        <v>359</v>
      </c>
      <c r="G7" s="50" t="s">
        <v>353</v>
      </c>
      <c r="H7" s="51" t="s">
        <v>359</v>
      </c>
    </row>
    <row r="8" spans="1:12" x14ac:dyDescent="0.2">
      <c r="A8" s="52"/>
      <c r="B8" s="52"/>
      <c r="C8" s="53"/>
      <c r="D8" s="54"/>
      <c r="E8" s="55"/>
      <c r="F8" s="55"/>
      <c r="G8" s="55"/>
      <c r="H8" s="56"/>
    </row>
    <row r="9" spans="1:12" x14ac:dyDescent="0.2">
      <c r="A9" s="54">
        <v>1994</v>
      </c>
      <c r="B9" s="57" t="s">
        <v>360</v>
      </c>
      <c r="C9" s="58">
        <v>141.31</v>
      </c>
      <c r="D9" s="58">
        <v>41.31</v>
      </c>
      <c r="E9" s="58">
        <v>162.13</v>
      </c>
      <c r="F9" s="58">
        <v>533.33000000000004</v>
      </c>
      <c r="G9" s="58">
        <v>41.31</v>
      </c>
      <c r="H9" s="59">
        <v>2693.84</v>
      </c>
      <c r="J9">
        <f>A9</f>
        <v>1994</v>
      </c>
      <c r="K9">
        <v>1</v>
      </c>
      <c r="L9" s="107">
        <f>DATE(J9,K9,1)</f>
        <v>34335</v>
      </c>
    </row>
    <row r="10" spans="1:12" x14ac:dyDescent="0.2">
      <c r="B10" s="57" t="s">
        <v>361</v>
      </c>
      <c r="C10" s="58">
        <v>198.22</v>
      </c>
      <c r="D10" s="58">
        <v>40.270000000000003</v>
      </c>
      <c r="E10" s="58">
        <v>171.24</v>
      </c>
      <c r="F10" s="58">
        <v>568.16999999999996</v>
      </c>
      <c r="G10" s="58">
        <v>98.22</v>
      </c>
      <c r="H10" s="59">
        <v>3035.71</v>
      </c>
      <c r="J10">
        <f>J9</f>
        <v>1994</v>
      </c>
      <c r="K10">
        <v>2</v>
      </c>
      <c r="L10" s="107">
        <f t="shared" ref="L10:L73" si="0">DATE(J10,K10,1)</f>
        <v>34366</v>
      </c>
    </row>
    <row r="11" spans="1:12" x14ac:dyDescent="0.2">
      <c r="B11" s="57" t="s">
        <v>362</v>
      </c>
      <c r="C11" s="58">
        <v>282.95999999999998</v>
      </c>
      <c r="D11" s="58">
        <v>42.75</v>
      </c>
      <c r="E11" s="58">
        <v>182.96</v>
      </c>
      <c r="F11" s="58">
        <v>602.92999999999995</v>
      </c>
      <c r="G11" s="58">
        <v>182.96</v>
      </c>
      <c r="H11" s="59">
        <v>3417.39</v>
      </c>
      <c r="J11">
        <f t="shared" ref="J11:J20" si="1">J10</f>
        <v>1994</v>
      </c>
      <c r="K11">
        <v>3</v>
      </c>
      <c r="L11" s="107">
        <f t="shared" si="0"/>
        <v>34394</v>
      </c>
    </row>
    <row r="12" spans="1:12" x14ac:dyDescent="0.2">
      <c r="B12" s="57" t="s">
        <v>363</v>
      </c>
      <c r="C12" s="58">
        <v>403.73</v>
      </c>
      <c r="D12" s="58">
        <v>42.68</v>
      </c>
      <c r="E12" s="58">
        <v>185.71</v>
      </c>
      <c r="F12" s="58">
        <v>648.91999999999996</v>
      </c>
      <c r="G12" s="58">
        <v>303.73</v>
      </c>
      <c r="H12" s="59">
        <v>3828.49</v>
      </c>
      <c r="J12">
        <f t="shared" si="1"/>
        <v>1994</v>
      </c>
      <c r="K12">
        <v>4</v>
      </c>
      <c r="L12" s="107">
        <f t="shared" si="0"/>
        <v>34425</v>
      </c>
    </row>
    <row r="13" spans="1:12" x14ac:dyDescent="0.2">
      <c r="B13" s="57" t="s">
        <v>364</v>
      </c>
      <c r="C13" s="58">
        <v>581.49</v>
      </c>
      <c r="D13" s="58">
        <v>44.03</v>
      </c>
      <c r="E13" s="58">
        <v>193.36</v>
      </c>
      <c r="F13" s="58">
        <v>695.71</v>
      </c>
      <c r="G13" s="58">
        <v>481.49</v>
      </c>
      <c r="H13" s="59">
        <v>4331.1899999999996</v>
      </c>
      <c r="J13">
        <f t="shared" si="1"/>
        <v>1994</v>
      </c>
      <c r="K13">
        <v>5</v>
      </c>
      <c r="L13" s="107">
        <f t="shared" si="0"/>
        <v>34455</v>
      </c>
    </row>
    <row r="14" spans="1:12" x14ac:dyDescent="0.2">
      <c r="B14" s="57" t="s">
        <v>365</v>
      </c>
      <c r="C14" s="58">
        <v>857.29</v>
      </c>
      <c r="D14" s="58">
        <v>47.43</v>
      </c>
      <c r="E14" s="58">
        <v>202.97</v>
      </c>
      <c r="F14" s="58">
        <v>757.29</v>
      </c>
      <c r="G14" s="58">
        <v>757.29</v>
      </c>
      <c r="H14" s="59">
        <v>4922.6000000000004</v>
      </c>
      <c r="J14">
        <f t="shared" si="1"/>
        <v>1994</v>
      </c>
      <c r="K14">
        <v>6</v>
      </c>
      <c r="L14" s="107">
        <f t="shared" si="0"/>
        <v>34486</v>
      </c>
    </row>
    <row r="15" spans="1:12" x14ac:dyDescent="0.2">
      <c r="B15" s="57" t="s">
        <v>366</v>
      </c>
      <c r="C15" s="58">
        <v>915.93</v>
      </c>
      <c r="D15" s="58">
        <v>6.84</v>
      </c>
      <c r="E15" s="58">
        <v>126.87</v>
      </c>
      <c r="F15" s="58">
        <v>548.16999999999996</v>
      </c>
      <c r="G15" s="58">
        <v>815.93</v>
      </c>
      <c r="H15" s="59">
        <v>4005.08</v>
      </c>
      <c r="J15">
        <f t="shared" si="1"/>
        <v>1994</v>
      </c>
      <c r="K15">
        <v>7</v>
      </c>
      <c r="L15" s="107">
        <f t="shared" si="0"/>
        <v>34516</v>
      </c>
    </row>
    <row r="16" spans="1:12" x14ac:dyDescent="0.2">
      <c r="B16" s="57" t="s">
        <v>367</v>
      </c>
      <c r="C16" s="58">
        <v>932.97</v>
      </c>
      <c r="D16" s="58">
        <v>1.86</v>
      </c>
      <c r="E16" s="58">
        <v>60.44</v>
      </c>
      <c r="F16" s="58">
        <v>370.67</v>
      </c>
      <c r="G16" s="58">
        <v>832.97</v>
      </c>
      <c r="H16" s="59">
        <v>3044.89</v>
      </c>
      <c r="J16">
        <f t="shared" si="1"/>
        <v>1994</v>
      </c>
      <c r="K16">
        <v>8</v>
      </c>
      <c r="L16" s="107">
        <f t="shared" si="0"/>
        <v>34547</v>
      </c>
    </row>
    <row r="17" spans="1:12" x14ac:dyDescent="0.2">
      <c r="B17" s="57" t="s">
        <v>368</v>
      </c>
      <c r="C17" s="58">
        <v>947.24</v>
      </c>
      <c r="D17" s="58">
        <v>1.53</v>
      </c>
      <c r="E17" s="58">
        <v>10.49</v>
      </c>
      <c r="F17" s="58">
        <v>234.76</v>
      </c>
      <c r="G17" s="58">
        <v>847.24</v>
      </c>
      <c r="H17" s="59">
        <v>2253.15</v>
      </c>
      <c r="J17">
        <f t="shared" si="1"/>
        <v>1994</v>
      </c>
      <c r="K17">
        <v>9</v>
      </c>
      <c r="L17" s="107">
        <f t="shared" si="0"/>
        <v>34578</v>
      </c>
    </row>
    <row r="18" spans="1:12" x14ac:dyDescent="0.2">
      <c r="B18" s="57" t="s">
        <v>369</v>
      </c>
      <c r="C18" s="58">
        <v>972.06</v>
      </c>
      <c r="D18" s="58">
        <v>2.62</v>
      </c>
      <c r="E18" s="58">
        <v>6.13</v>
      </c>
      <c r="F18" s="58">
        <v>140.77000000000001</v>
      </c>
      <c r="G18" s="58">
        <v>872.06</v>
      </c>
      <c r="H18" s="59">
        <v>1703.17</v>
      </c>
      <c r="J18">
        <f t="shared" si="1"/>
        <v>1994</v>
      </c>
      <c r="K18">
        <v>10</v>
      </c>
      <c r="L18" s="107">
        <f t="shared" si="0"/>
        <v>34608</v>
      </c>
    </row>
    <row r="19" spans="1:12" x14ac:dyDescent="0.2">
      <c r="B19" s="57" t="s">
        <v>370</v>
      </c>
      <c r="C19" s="58">
        <v>999.37</v>
      </c>
      <c r="D19" s="58">
        <v>2.81</v>
      </c>
      <c r="E19" s="58">
        <v>7.12</v>
      </c>
      <c r="F19" s="58">
        <v>71.86</v>
      </c>
      <c r="G19" s="58">
        <v>899.37</v>
      </c>
      <c r="H19" s="59">
        <v>1267.54</v>
      </c>
      <c r="J19">
        <f t="shared" si="1"/>
        <v>1994</v>
      </c>
      <c r="K19">
        <v>11</v>
      </c>
      <c r="L19" s="107">
        <f t="shared" si="0"/>
        <v>34639</v>
      </c>
    </row>
    <row r="20" spans="1:12" x14ac:dyDescent="0.2">
      <c r="A20" s="60"/>
      <c r="B20" s="57" t="s">
        <v>371</v>
      </c>
      <c r="C20" s="58">
        <v>1016.46</v>
      </c>
      <c r="D20" s="58">
        <v>1.71</v>
      </c>
      <c r="E20" s="58">
        <v>7.31</v>
      </c>
      <c r="F20" s="58">
        <v>18.57</v>
      </c>
      <c r="G20" s="58">
        <v>916.46</v>
      </c>
      <c r="H20" s="59">
        <v>916.46</v>
      </c>
      <c r="J20">
        <f t="shared" si="1"/>
        <v>1994</v>
      </c>
      <c r="K20">
        <v>12</v>
      </c>
      <c r="L20" s="107">
        <f t="shared" si="0"/>
        <v>34669</v>
      </c>
    </row>
    <row r="21" spans="1:12" x14ac:dyDescent="0.2">
      <c r="A21" s="52"/>
      <c r="B21" s="52"/>
      <c r="C21" s="61"/>
      <c r="D21" s="62"/>
      <c r="E21" s="63"/>
      <c r="F21" s="63"/>
      <c r="G21" s="63"/>
      <c r="H21" s="64"/>
      <c r="L21" s="107" t="e">
        <f t="shared" si="0"/>
        <v>#NUM!</v>
      </c>
    </row>
    <row r="22" spans="1:12" x14ac:dyDescent="0.2">
      <c r="A22" s="54">
        <v>1995</v>
      </c>
      <c r="B22" s="57" t="s">
        <v>360</v>
      </c>
      <c r="C22" s="58">
        <v>1033.74</v>
      </c>
      <c r="D22" s="58">
        <v>1.7</v>
      </c>
      <c r="E22" s="58">
        <v>6.35</v>
      </c>
      <c r="F22" s="58">
        <v>12.86</v>
      </c>
      <c r="G22" s="58">
        <v>1.7</v>
      </c>
      <c r="H22" s="59">
        <v>631.54</v>
      </c>
      <c r="J22">
        <f t="shared" ref="J22" si="2">A22</f>
        <v>1995</v>
      </c>
      <c r="K22">
        <v>1</v>
      </c>
      <c r="L22" s="107">
        <f t="shared" si="0"/>
        <v>34700</v>
      </c>
    </row>
    <row r="23" spans="1:12" x14ac:dyDescent="0.2">
      <c r="B23" s="57" t="s">
        <v>361</v>
      </c>
      <c r="C23" s="58">
        <v>1044.28</v>
      </c>
      <c r="D23" s="58">
        <v>1.02</v>
      </c>
      <c r="E23" s="58">
        <v>4.49</v>
      </c>
      <c r="F23" s="58">
        <v>11.93</v>
      </c>
      <c r="G23" s="58">
        <v>2.74</v>
      </c>
      <c r="H23" s="59">
        <v>426.83</v>
      </c>
      <c r="J23">
        <f t="shared" ref="J23:J33" si="3">J22</f>
        <v>1995</v>
      </c>
      <c r="K23">
        <v>2</v>
      </c>
      <c r="L23" s="107">
        <f t="shared" si="0"/>
        <v>34731</v>
      </c>
    </row>
    <row r="24" spans="1:12" x14ac:dyDescent="0.2">
      <c r="B24" s="57" t="s">
        <v>362</v>
      </c>
      <c r="C24" s="58">
        <v>1060.47</v>
      </c>
      <c r="D24" s="58">
        <v>1.55</v>
      </c>
      <c r="E24" s="58">
        <v>4.33</v>
      </c>
      <c r="F24" s="58">
        <v>11.95</v>
      </c>
      <c r="G24" s="58">
        <v>4.33</v>
      </c>
      <c r="H24" s="59">
        <v>274.77999999999997</v>
      </c>
      <c r="J24">
        <f t="shared" si="3"/>
        <v>1995</v>
      </c>
      <c r="K24">
        <v>3</v>
      </c>
      <c r="L24" s="107">
        <f t="shared" si="0"/>
        <v>34759</v>
      </c>
    </row>
    <row r="25" spans="1:12" x14ac:dyDescent="0.2">
      <c r="B25" s="57" t="s">
        <v>363</v>
      </c>
      <c r="C25" s="58">
        <v>1086.24</v>
      </c>
      <c r="D25" s="58">
        <v>2.4300000000000002</v>
      </c>
      <c r="E25" s="58">
        <v>5.08</v>
      </c>
      <c r="F25" s="58">
        <v>11.75</v>
      </c>
      <c r="G25" s="58">
        <v>6.87</v>
      </c>
      <c r="H25" s="59">
        <v>169.05</v>
      </c>
      <c r="J25">
        <f t="shared" si="3"/>
        <v>1995</v>
      </c>
      <c r="K25">
        <v>4</v>
      </c>
      <c r="L25" s="107">
        <f t="shared" si="0"/>
        <v>34790</v>
      </c>
    </row>
    <row r="26" spans="1:12" x14ac:dyDescent="0.2">
      <c r="B26" s="57" t="s">
        <v>364</v>
      </c>
      <c r="C26" s="58">
        <v>1115.24</v>
      </c>
      <c r="D26" s="58">
        <v>2.67</v>
      </c>
      <c r="E26" s="58">
        <v>6.8</v>
      </c>
      <c r="F26" s="58">
        <v>11.59</v>
      </c>
      <c r="G26" s="58">
        <v>9.7200000000000006</v>
      </c>
      <c r="H26" s="59">
        <v>91.79</v>
      </c>
      <c r="J26">
        <f t="shared" si="3"/>
        <v>1995</v>
      </c>
      <c r="K26">
        <v>5</v>
      </c>
      <c r="L26" s="107">
        <f t="shared" si="0"/>
        <v>34820</v>
      </c>
    </row>
    <row r="27" spans="1:12" x14ac:dyDescent="0.2">
      <c r="B27" s="57" t="s">
        <v>365</v>
      </c>
      <c r="C27" s="58">
        <v>1140.44</v>
      </c>
      <c r="D27" s="58">
        <v>2.2599999999999998</v>
      </c>
      <c r="E27" s="58">
        <v>7.54</v>
      </c>
      <c r="F27" s="58">
        <v>12.2</v>
      </c>
      <c r="G27" s="58">
        <v>12.2</v>
      </c>
      <c r="H27" s="59">
        <v>33.03</v>
      </c>
      <c r="J27">
        <f t="shared" si="3"/>
        <v>1995</v>
      </c>
      <c r="K27">
        <v>6</v>
      </c>
      <c r="L27" s="107">
        <f t="shared" si="0"/>
        <v>34851</v>
      </c>
    </row>
    <row r="28" spans="1:12" x14ac:dyDescent="0.2">
      <c r="B28" s="57" t="s">
        <v>366</v>
      </c>
      <c r="C28" s="58">
        <v>1167.3499999999999</v>
      </c>
      <c r="D28" s="58">
        <v>2.36</v>
      </c>
      <c r="E28" s="58">
        <v>7.47</v>
      </c>
      <c r="F28" s="58">
        <v>12.92</v>
      </c>
      <c r="G28" s="58">
        <v>14.84</v>
      </c>
      <c r="H28" s="59">
        <v>27.45</v>
      </c>
      <c r="J28">
        <f t="shared" si="3"/>
        <v>1995</v>
      </c>
      <c r="K28">
        <v>7</v>
      </c>
      <c r="L28" s="107">
        <f t="shared" si="0"/>
        <v>34881</v>
      </c>
    </row>
    <row r="29" spans="1:12" x14ac:dyDescent="0.2">
      <c r="B29" s="57" t="s">
        <v>367</v>
      </c>
      <c r="C29" s="58">
        <v>1178.9100000000001</v>
      </c>
      <c r="D29" s="58">
        <v>0.99</v>
      </c>
      <c r="E29" s="58">
        <v>5.71</v>
      </c>
      <c r="F29" s="58">
        <v>12.89</v>
      </c>
      <c r="G29" s="58">
        <v>15.98</v>
      </c>
      <c r="H29" s="59">
        <v>26.36</v>
      </c>
      <c r="J29">
        <f t="shared" si="3"/>
        <v>1995</v>
      </c>
      <c r="K29">
        <v>8</v>
      </c>
      <c r="L29" s="107">
        <f t="shared" si="0"/>
        <v>34912</v>
      </c>
    </row>
    <row r="30" spans="1:12" x14ac:dyDescent="0.2">
      <c r="B30" s="57" t="s">
        <v>368</v>
      </c>
      <c r="C30" s="58">
        <v>1190.58</v>
      </c>
      <c r="D30" s="58">
        <v>0.99</v>
      </c>
      <c r="E30" s="58">
        <v>4.4000000000000004</v>
      </c>
      <c r="F30" s="58">
        <v>12.27</v>
      </c>
      <c r="G30" s="58">
        <v>17.13</v>
      </c>
      <c r="H30" s="59">
        <v>25.69</v>
      </c>
      <c r="J30">
        <f t="shared" si="3"/>
        <v>1995</v>
      </c>
      <c r="K30">
        <v>9</v>
      </c>
      <c r="L30" s="107">
        <f t="shared" si="0"/>
        <v>34943</v>
      </c>
    </row>
    <row r="31" spans="1:12" x14ac:dyDescent="0.2">
      <c r="B31" s="57" t="s">
        <v>369</v>
      </c>
      <c r="C31" s="58">
        <v>1207.3699999999999</v>
      </c>
      <c r="D31" s="58">
        <v>1.41</v>
      </c>
      <c r="E31" s="58">
        <v>3.43</v>
      </c>
      <c r="F31" s="58">
        <v>11.15</v>
      </c>
      <c r="G31" s="58">
        <v>18.78</v>
      </c>
      <c r="H31" s="59">
        <v>24.21</v>
      </c>
      <c r="J31">
        <f t="shared" si="3"/>
        <v>1995</v>
      </c>
      <c r="K31">
        <v>10</v>
      </c>
      <c r="L31" s="107">
        <f t="shared" si="0"/>
        <v>34973</v>
      </c>
    </row>
    <row r="32" spans="1:12" x14ac:dyDescent="0.2">
      <c r="B32" s="57" t="s">
        <v>370</v>
      </c>
      <c r="C32" s="58">
        <v>1225.1199999999999</v>
      </c>
      <c r="D32" s="58">
        <v>1.47</v>
      </c>
      <c r="E32" s="58">
        <v>3.92</v>
      </c>
      <c r="F32" s="58">
        <v>9.85</v>
      </c>
      <c r="G32" s="58">
        <v>20.53</v>
      </c>
      <c r="H32" s="59">
        <v>22.59</v>
      </c>
      <c r="J32">
        <f t="shared" si="3"/>
        <v>1995</v>
      </c>
      <c r="K32">
        <v>11</v>
      </c>
      <c r="L32" s="107">
        <f t="shared" si="0"/>
        <v>35004</v>
      </c>
    </row>
    <row r="33" spans="1:12" x14ac:dyDescent="0.2">
      <c r="A33" s="60"/>
      <c r="B33" s="65" t="s">
        <v>371</v>
      </c>
      <c r="C33" s="66">
        <v>1244.23</v>
      </c>
      <c r="D33" s="66">
        <v>1.56</v>
      </c>
      <c r="E33" s="66">
        <v>4.51</v>
      </c>
      <c r="F33" s="66">
        <v>9.1</v>
      </c>
      <c r="G33" s="66">
        <v>22.41</v>
      </c>
      <c r="H33" s="67">
        <v>22.41</v>
      </c>
      <c r="J33">
        <f t="shared" si="3"/>
        <v>1995</v>
      </c>
      <c r="K33">
        <v>12</v>
      </c>
      <c r="L33" s="107">
        <f t="shared" si="0"/>
        <v>35034</v>
      </c>
    </row>
    <row r="34" spans="1:12" x14ac:dyDescent="0.2">
      <c r="A34" s="52"/>
      <c r="B34" s="52"/>
      <c r="C34" s="61"/>
      <c r="D34" s="62"/>
      <c r="E34" s="63"/>
      <c r="F34" s="63"/>
      <c r="G34" s="63"/>
      <c r="H34" s="64"/>
      <c r="L34" s="107" t="e">
        <f t="shared" si="0"/>
        <v>#NUM!</v>
      </c>
    </row>
    <row r="35" spans="1:12" x14ac:dyDescent="0.2">
      <c r="A35" s="54">
        <v>1996</v>
      </c>
      <c r="B35" s="57" t="s">
        <v>360</v>
      </c>
      <c r="C35" s="58">
        <v>1260.9000000000001</v>
      </c>
      <c r="D35" s="68">
        <v>1.34</v>
      </c>
      <c r="E35" s="58">
        <v>4.43</v>
      </c>
      <c r="F35" s="68">
        <v>8.01</v>
      </c>
      <c r="G35" s="68">
        <v>1.34</v>
      </c>
      <c r="H35" s="59">
        <v>21.97</v>
      </c>
      <c r="J35">
        <f t="shared" ref="J35" si="4">A35</f>
        <v>1996</v>
      </c>
      <c r="K35">
        <v>1</v>
      </c>
      <c r="L35" s="107">
        <f t="shared" si="0"/>
        <v>35065</v>
      </c>
    </row>
    <row r="36" spans="1:12" x14ac:dyDescent="0.2">
      <c r="B36" s="57" t="s">
        <v>361</v>
      </c>
      <c r="C36" s="58">
        <v>1273.8900000000001</v>
      </c>
      <c r="D36" s="68">
        <v>1.03</v>
      </c>
      <c r="E36" s="58">
        <v>3.98</v>
      </c>
      <c r="F36" s="68">
        <v>8.06</v>
      </c>
      <c r="G36" s="68">
        <v>2.38</v>
      </c>
      <c r="H36" s="59">
        <v>21.99</v>
      </c>
      <c r="J36">
        <f t="shared" ref="J36:J46" si="5">J35</f>
        <v>1996</v>
      </c>
      <c r="K36">
        <v>2</v>
      </c>
      <c r="L36" s="107">
        <f t="shared" si="0"/>
        <v>35096</v>
      </c>
    </row>
    <row r="37" spans="1:12" x14ac:dyDescent="0.2">
      <c r="B37" s="57" t="s">
        <v>362</v>
      </c>
      <c r="C37" s="58">
        <v>1278.3499999999999</v>
      </c>
      <c r="D37" s="68">
        <v>0.35</v>
      </c>
      <c r="E37" s="58">
        <v>2.74</v>
      </c>
      <c r="F37" s="68">
        <v>7.37</v>
      </c>
      <c r="G37" s="68">
        <v>2.74</v>
      </c>
      <c r="H37" s="59">
        <v>20.55</v>
      </c>
      <c r="J37">
        <f t="shared" si="5"/>
        <v>1996</v>
      </c>
      <c r="K37">
        <v>3</v>
      </c>
      <c r="L37" s="107">
        <f t="shared" si="0"/>
        <v>35125</v>
      </c>
    </row>
    <row r="38" spans="1:12" x14ac:dyDescent="0.2">
      <c r="B38" s="57" t="s">
        <v>363</v>
      </c>
      <c r="C38" s="58">
        <v>1294.46</v>
      </c>
      <c r="D38" s="68">
        <v>1.26</v>
      </c>
      <c r="E38" s="58">
        <v>2.66</v>
      </c>
      <c r="F38" s="68">
        <v>7.21</v>
      </c>
      <c r="G38" s="68">
        <v>4.04</v>
      </c>
      <c r="H38" s="59">
        <v>19.170000000000002</v>
      </c>
      <c r="J38">
        <f t="shared" si="5"/>
        <v>1996</v>
      </c>
      <c r="K38">
        <v>4</v>
      </c>
      <c r="L38" s="107">
        <f t="shared" si="0"/>
        <v>35156</v>
      </c>
    </row>
    <row r="39" spans="1:12" x14ac:dyDescent="0.2">
      <c r="B39" s="57" t="s">
        <v>364</v>
      </c>
      <c r="C39" s="58">
        <v>1310.25</v>
      </c>
      <c r="D39" s="68">
        <v>1.22</v>
      </c>
      <c r="E39" s="58">
        <v>2.85</v>
      </c>
      <c r="F39" s="58">
        <v>6.95</v>
      </c>
      <c r="G39" s="58">
        <v>5.31</v>
      </c>
      <c r="H39" s="59">
        <v>17.489999999999998</v>
      </c>
      <c r="J39">
        <f t="shared" si="5"/>
        <v>1996</v>
      </c>
      <c r="K39">
        <v>5</v>
      </c>
      <c r="L39" s="107">
        <f t="shared" si="0"/>
        <v>35186</v>
      </c>
    </row>
    <row r="40" spans="1:12" x14ac:dyDescent="0.2">
      <c r="B40" s="57" t="s">
        <v>365</v>
      </c>
      <c r="C40" s="58">
        <v>1325.84</v>
      </c>
      <c r="D40" s="68">
        <v>1.19</v>
      </c>
      <c r="E40" s="58">
        <v>3.71</v>
      </c>
      <c r="F40" s="58">
        <v>6.56</v>
      </c>
      <c r="G40" s="58">
        <v>6.56</v>
      </c>
      <c r="H40" s="59">
        <v>16.260000000000002</v>
      </c>
      <c r="J40">
        <f t="shared" si="5"/>
        <v>1996</v>
      </c>
      <c r="K40">
        <v>6</v>
      </c>
      <c r="L40" s="107">
        <f t="shared" si="0"/>
        <v>35217</v>
      </c>
    </row>
    <row r="41" spans="1:12" x14ac:dyDescent="0.2">
      <c r="B41" s="57" t="s">
        <v>366</v>
      </c>
      <c r="C41" s="58">
        <v>1340.56</v>
      </c>
      <c r="D41" s="68">
        <v>1.1100000000000001</v>
      </c>
      <c r="E41" s="58">
        <v>3.56</v>
      </c>
      <c r="F41" s="58">
        <v>6.32</v>
      </c>
      <c r="G41" s="58">
        <v>7.74</v>
      </c>
      <c r="H41" s="59">
        <v>14.84</v>
      </c>
      <c r="J41">
        <f t="shared" si="5"/>
        <v>1996</v>
      </c>
      <c r="K41">
        <v>7</v>
      </c>
      <c r="L41" s="107">
        <f t="shared" si="0"/>
        <v>35247</v>
      </c>
    </row>
    <row r="42" spans="1:12" x14ac:dyDescent="0.2">
      <c r="B42" s="57" t="s">
        <v>367</v>
      </c>
      <c r="C42" s="58">
        <v>1346.46</v>
      </c>
      <c r="D42" s="68">
        <v>0.44</v>
      </c>
      <c r="E42" s="58">
        <v>2.76</v>
      </c>
      <c r="F42" s="58">
        <v>5.7</v>
      </c>
      <c r="G42" s="58">
        <v>8.2200000000000006</v>
      </c>
      <c r="H42" s="59">
        <v>14.21</v>
      </c>
      <c r="J42">
        <f t="shared" si="5"/>
        <v>1996</v>
      </c>
      <c r="K42">
        <v>8</v>
      </c>
      <c r="L42" s="107">
        <f t="shared" si="0"/>
        <v>35278</v>
      </c>
    </row>
    <row r="43" spans="1:12" x14ac:dyDescent="0.2">
      <c r="B43" s="57" t="s">
        <v>368</v>
      </c>
      <c r="C43" s="58">
        <v>1348.48</v>
      </c>
      <c r="D43" s="68">
        <v>0.15</v>
      </c>
      <c r="E43" s="58">
        <v>1.71</v>
      </c>
      <c r="F43" s="58">
        <v>5.49</v>
      </c>
      <c r="G43" s="58">
        <v>8.3800000000000008</v>
      </c>
      <c r="H43" s="59">
        <v>13.26</v>
      </c>
      <c r="J43">
        <f t="shared" si="5"/>
        <v>1996</v>
      </c>
      <c r="K43">
        <v>9</v>
      </c>
      <c r="L43" s="107">
        <f t="shared" si="0"/>
        <v>35309</v>
      </c>
    </row>
    <row r="44" spans="1:12" x14ac:dyDescent="0.2">
      <c r="B44" s="57" t="s">
        <v>369</v>
      </c>
      <c r="C44" s="58">
        <v>1352.53</v>
      </c>
      <c r="D44" s="58">
        <v>0.3</v>
      </c>
      <c r="E44" s="58">
        <v>0.89</v>
      </c>
      <c r="F44" s="58">
        <v>4.49</v>
      </c>
      <c r="G44" s="58">
        <v>8.6999999999999993</v>
      </c>
      <c r="H44" s="59">
        <v>12.02</v>
      </c>
      <c r="J44">
        <f t="shared" si="5"/>
        <v>1996</v>
      </c>
      <c r="K44">
        <v>10</v>
      </c>
      <c r="L44" s="107">
        <f t="shared" si="0"/>
        <v>35339</v>
      </c>
    </row>
    <row r="45" spans="1:12" x14ac:dyDescent="0.2">
      <c r="B45" s="57" t="s">
        <v>370</v>
      </c>
      <c r="C45" s="58">
        <v>1356.86</v>
      </c>
      <c r="D45" s="68">
        <v>0.32</v>
      </c>
      <c r="E45" s="58">
        <v>0.77</v>
      </c>
      <c r="F45" s="68">
        <v>3.56</v>
      </c>
      <c r="G45" s="68">
        <v>9.0500000000000007</v>
      </c>
      <c r="H45" s="59">
        <v>10.75</v>
      </c>
      <c r="J45">
        <f t="shared" si="5"/>
        <v>1996</v>
      </c>
      <c r="K45">
        <v>11</v>
      </c>
      <c r="L45" s="107">
        <f t="shared" si="0"/>
        <v>35370</v>
      </c>
    </row>
    <row r="46" spans="1:12" x14ac:dyDescent="0.2">
      <c r="A46" s="60"/>
      <c r="B46" s="65" t="s">
        <v>371</v>
      </c>
      <c r="C46" s="66">
        <v>1363.24</v>
      </c>
      <c r="D46" s="69">
        <v>0.47</v>
      </c>
      <c r="E46" s="66">
        <v>1.0900000000000001</v>
      </c>
      <c r="F46" s="66">
        <v>2.82</v>
      </c>
      <c r="G46" s="66">
        <v>9.56</v>
      </c>
      <c r="H46" s="67">
        <v>9.56</v>
      </c>
      <c r="J46">
        <f t="shared" si="5"/>
        <v>1996</v>
      </c>
      <c r="K46">
        <v>12</v>
      </c>
      <c r="L46" s="107">
        <f t="shared" si="0"/>
        <v>35400</v>
      </c>
    </row>
    <row r="47" spans="1:12" x14ac:dyDescent="0.2">
      <c r="A47" s="52"/>
      <c r="B47" s="52"/>
      <c r="C47" s="61"/>
      <c r="D47" s="62"/>
      <c r="E47" s="63"/>
      <c r="F47" s="63"/>
      <c r="G47" s="63"/>
      <c r="H47" s="64"/>
      <c r="L47" s="107" t="e">
        <f t="shared" si="0"/>
        <v>#NUM!</v>
      </c>
    </row>
    <row r="48" spans="1:12" x14ac:dyDescent="0.2">
      <c r="A48" s="54">
        <v>1997</v>
      </c>
      <c r="B48" s="57" t="s">
        <v>360</v>
      </c>
      <c r="C48" s="58">
        <v>1379.33</v>
      </c>
      <c r="D48" s="68">
        <v>1.18</v>
      </c>
      <c r="E48" s="58">
        <v>1.98</v>
      </c>
      <c r="F48" s="58">
        <v>2.89</v>
      </c>
      <c r="G48" s="58">
        <v>1.18</v>
      </c>
      <c r="H48" s="59">
        <v>9.39</v>
      </c>
      <c r="J48">
        <f t="shared" ref="J48" si="6">A48</f>
        <v>1997</v>
      </c>
      <c r="K48">
        <v>1</v>
      </c>
      <c r="L48" s="107">
        <f t="shared" si="0"/>
        <v>35431</v>
      </c>
    </row>
    <row r="49" spans="1:12" x14ac:dyDescent="0.2">
      <c r="B49" s="57" t="s">
        <v>361</v>
      </c>
      <c r="C49" s="58">
        <v>1386.23</v>
      </c>
      <c r="D49" s="58">
        <v>0.5</v>
      </c>
      <c r="E49" s="58">
        <v>2.16</v>
      </c>
      <c r="F49" s="58">
        <v>2.95</v>
      </c>
      <c r="G49" s="58">
        <v>1.69</v>
      </c>
      <c r="H49" s="59">
        <v>8.82</v>
      </c>
      <c r="J49">
        <f t="shared" ref="J49:J59" si="7">J48</f>
        <v>1997</v>
      </c>
      <c r="K49">
        <v>2</v>
      </c>
      <c r="L49" s="107">
        <f t="shared" si="0"/>
        <v>35462</v>
      </c>
    </row>
    <row r="50" spans="1:12" x14ac:dyDescent="0.2">
      <c r="B50" s="57" t="s">
        <v>362</v>
      </c>
      <c r="C50" s="58">
        <v>1393.3</v>
      </c>
      <c r="D50" s="68">
        <v>0.51</v>
      </c>
      <c r="E50" s="58">
        <v>2.21</v>
      </c>
      <c r="F50" s="58">
        <v>3.32</v>
      </c>
      <c r="G50" s="58">
        <v>2.21</v>
      </c>
      <c r="H50" s="59">
        <v>8.99</v>
      </c>
      <c r="J50">
        <f t="shared" si="7"/>
        <v>1997</v>
      </c>
      <c r="K50">
        <v>3</v>
      </c>
      <c r="L50" s="107">
        <f t="shared" si="0"/>
        <v>35490</v>
      </c>
    </row>
    <row r="51" spans="1:12" x14ac:dyDescent="0.2">
      <c r="B51" s="57" t="s">
        <v>363</v>
      </c>
      <c r="C51" s="58">
        <v>1405.56</v>
      </c>
      <c r="D51" s="68">
        <v>0.88</v>
      </c>
      <c r="E51" s="58">
        <v>1.9</v>
      </c>
      <c r="F51" s="58">
        <v>3.92</v>
      </c>
      <c r="G51" s="58">
        <v>3.1</v>
      </c>
      <c r="H51" s="59">
        <v>8.58</v>
      </c>
      <c r="J51">
        <f t="shared" si="7"/>
        <v>1997</v>
      </c>
      <c r="K51">
        <v>4</v>
      </c>
      <c r="L51" s="107">
        <f t="shared" si="0"/>
        <v>35521</v>
      </c>
    </row>
    <row r="52" spans="1:12" x14ac:dyDescent="0.2">
      <c r="B52" s="57" t="s">
        <v>364</v>
      </c>
      <c r="C52" s="58">
        <v>1411.32</v>
      </c>
      <c r="D52" s="68">
        <v>0.41</v>
      </c>
      <c r="E52" s="58">
        <v>1.81</v>
      </c>
      <c r="F52" s="58">
        <v>4.01</v>
      </c>
      <c r="G52" s="58">
        <v>3.53</v>
      </c>
      <c r="H52" s="59">
        <v>7.71</v>
      </c>
      <c r="J52">
        <f t="shared" si="7"/>
        <v>1997</v>
      </c>
      <c r="K52">
        <v>5</v>
      </c>
      <c r="L52" s="107">
        <f t="shared" si="0"/>
        <v>35551</v>
      </c>
    </row>
    <row r="53" spans="1:12" x14ac:dyDescent="0.2">
      <c r="B53" s="57" t="s">
        <v>365</v>
      </c>
      <c r="C53" s="58">
        <v>1418.94</v>
      </c>
      <c r="D53" s="68">
        <v>0.54</v>
      </c>
      <c r="E53" s="58">
        <v>1.84</v>
      </c>
      <c r="F53" s="58">
        <v>4.09</v>
      </c>
      <c r="G53" s="58">
        <v>4.09</v>
      </c>
      <c r="H53" s="59">
        <v>7.02</v>
      </c>
      <c r="J53">
        <f t="shared" si="7"/>
        <v>1997</v>
      </c>
      <c r="K53">
        <v>6</v>
      </c>
      <c r="L53" s="107">
        <f t="shared" si="0"/>
        <v>35582</v>
      </c>
    </row>
    <row r="54" spans="1:12" x14ac:dyDescent="0.2">
      <c r="B54" s="57" t="s">
        <v>366</v>
      </c>
      <c r="C54" s="58">
        <v>1422.06</v>
      </c>
      <c r="D54" s="68">
        <v>0.22</v>
      </c>
      <c r="E54" s="58">
        <v>1.17</v>
      </c>
      <c r="F54" s="58">
        <v>3.1</v>
      </c>
      <c r="G54" s="58">
        <v>4.3099999999999996</v>
      </c>
      <c r="H54" s="59">
        <v>6.08</v>
      </c>
      <c r="J54">
        <f t="shared" si="7"/>
        <v>1997</v>
      </c>
      <c r="K54">
        <v>7</v>
      </c>
      <c r="L54" s="107">
        <f t="shared" si="0"/>
        <v>35612</v>
      </c>
    </row>
    <row r="55" spans="1:12" x14ac:dyDescent="0.2">
      <c r="B55" s="57" t="s">
        <v>367</v>
      </c>
      <c r="C55" s="58">
        <v>1421.78</v>
      </c>
      <c r="D55" s="68">
        <v>-0.02</v>
      </c>
      <c r="E55" s="58">
        <v>0.74</v>
      </c>
      <c r="F55" s="58">
        <v>2.56</v>
      </c>
      <c r="G55" s="58">
        <v>4.29</v>
      </c>
      <c r="H55" s="59">
        <v>5.59</v>
      </c>
      <c r="J55">
        <f t="shared" si="7"/>
        <v>1997</v>
      </c>
      <c r="K55">
        <v>8</v>
      </c>
      <c r="L55" s="107">
        <f t="shared" si="0"/>
        <v>35643</v>
      </c>
    </row>
    <row r="56" spans="1:12" x14ac:dyDescent="0.2">
      <c r="B56" s="57" t="s">
        <v>368</v>
      </c>
      <c r="C56" s="58">
        <v>1422.63</v>
      </c>
      <c r="D56" s="68">
        <v>0.06</v>
      </c>
      <c r="E56" s="58">
        <v>0.26</v>
      </c>
      <c r="F56" s="58">
        <v>2.11</v>
      </c>
      <c r="G56" s="58">
        <v>4.3600000000000003</v>
      </c>
      <c r="H56" s="59">
        <v>5.5</v>
      </c>
      <c r="J56">
        <f t="shared" si="7"/>
        <v>1997</v>
      </c>
      <c r="K56">
        <v>9</v>
      </c>
      <c r="L56" s="107">
        <f t="shared" si="0"/>
        <v>35674</v>
      </c>
    </row>
    <row r="57" spans="1:12" x14ac:dyDescent="0.2">
      <c r="B57" s="57" t="s">
        <v>369</v>
      </c>
      <c r="C57" s="58">
        <v>1425.9</v>
      </c>
      <c r="D57" s="58">
        <v>0.23</v>
      </c>
      <c r="E57" s="58">
        <v>0.27</v>
      </c>
      <c r="F57" s="58">
        <v>1.45</v>
      </c>
      <c r="G57" s="58">
        <v>4.5999999999999996</v>
      </c>
      <c r="H57" s="59">
        <v>5.42</v>
      </c>
      <c r="J57">
        <f t="shared" si="7"/>
        <v>1997</v>
      </c>
      <c r="K57">
        <v>10</v>
      </c>
      <c r="L57" s="107">
        <f t="shared" si="0"/>
        <v>35704</v>
      </c>
    </row>
    <row r="58" spans="1:12" x14ac:dyDescent="0.2">
      <c r="B58" s="57" t="s">
        <v>370</v>
      </c>
      <c r="C58" s="58">
        <v>1428.32</v>
      </c>
      <c r="D58" s="68">
        <v>0.17</v>
      </c>
      <c r="E58" s="58">
        <v>0.46</v>
      </c>
      <c r="F58" s="58">
        <v>1.2</v>
      </c>
      <c r="G58" s="58">
        <v>4.7699999999999996</v>
      </c>
      <c r="H58" s="59">
        <v>5.27</v>
      </c>
      <c r="J58">
        <f t="shared" si="7"/>
        <v>1997</v>
      </c>
      <c r="K58">
        <v>11</v>
      </c>
      <c r="L58" s="107">
        <f t="shared" si="0"/>
        <v>35735</v>
      </c>
    </row>
    <row r="59" spans="1:12" x14ac:dyDescent="0.2">
      <c r="A59" s="60"/>
      <c r="B59" s="65" t="s">
        <v>371</v>
      </c>
      <c r="C59" s="66">
        <v>1434.46</v>
      </c>
      <c r="D59" s="69">
        <v>0.43</v>
      </c>
      <c r="E59" s="66">
        <v>0.83</v>
      </c>
      <c r="F59" s="66">
        <v>1.0900000000000001</v>
      </c>
      <c r="G59" s="66">
        <v>5.22</v>
      </c>
      <c r="H59" s="67">
        <v>5.22</v>
      </c>
      <c r="J59">
        <f t="shared" si="7"/>
        <v>1997</v>
      </c>
      <c r="K59">
        <v>12</v>
      </c>
      <c r="L59" s="107">
        <f t="shared" si="0"/>
        <v>35765</v>
      </c>
    </row>
    <row r="60" spans="1:12" x14ac:dyDescent="0.2">
      <c r="A60" s="52"/>
      <c r="B60" s="52"/>
      <c r="C60" s="61"/>
      <c r="D60" s="62"/>
      <c r="E60" s="63"/>
      <c r="F60" s="63"/>
      <c r="G60" s="63"/>
      <c r="H60" s="64"/>
      <c r="L60" s="107" t="e">
        <f t="shared" si="0"/>
        <v>#NUM!</v>
      </c>
    </row>
    <row r="61" spans="1:12" x14ac:dyDescent="0.2">
      <c r="A61" s="54">
        <v>1998</v>
      </c>
      <c r="B61" s="57" t="s">
        <v>360</v>
      </c>
      <c r="C61" s="58">
        <v>1444.64</v>
      </c>
      <c r="D61" s="58">
        <v>0.71</v>
      </c>
      <c r="E61" s="58">
        <v>1.31</v>
      </c>
      <c r="F61" s="58">
        <v>1.59</v>
      </c>
      <c r="G61" s="58">
        <v>0.71</v>
      </c>
      <c r="H61" s="59">
        <v>4.7300000000000004</v>
      </c>
      <c r="J61">
        <f t="shared" ref="J61" si="8">A61</f>
        <v>1998</v>
      </c>
      <c r="K61">
        <v>1</v>
      </c>
      <c r="L61" s="107">
        <f t="shared" si="0"/>
        <v>35796</v>
      </c>
    </row>
    <row r="62" spans="1:12" x14ac:dyDescent="0.2">
      <c r="B62" s="57" t="s">
        <v>361</v>
      </c>
      <c r="C62" s="58">
        <v>1451.29</v>
      </c>
      <c r="D62" s="58">
        <v>0.46</v>
      </c>
      <c r="E62" s="58">
        <v>1.61</v>
      </c>
      <c r="F62" s="58">
        <v>2.08</v>
      </c>
      <c r="G62" s="58">
        <v>1.17</v>
      </c>
      <c r="H62" s="59">
        <v>4.6900000000000004</v>
      </c>
      <c r="J62">
        <f t="shared" ref="J62:J72" si="9">J61</f>
        <v>1998</v>
      </c>
      <c r="K62">
        <v>2</v>
      </c>
      <c r="L62" s="107">
        <f t="shared" si="0"/>
        <v>35827</v>
      </c>
    </row>
    <row r="63" spans="1:12" x14ac:dyDescent="0.2">
      <c r="B63" s="57" t="s">
        <v>362</v>
      </c>
      <c r="C63" s="58">
        <v>1456.22</v>
      </c>
      <c r="D63" s="58">
        <v>0.34</v>
      </c>
      <c r="E63" s="58">
        <v>1.52</v>
      </c>
      <c r="F63" s="58">
        <v>2.36</v>
      </c>
      <c r="G63" s="58">
        <v>1.52</v>
      </c>
      <c r="H63" s="59">
        <v>4.5199999999999996</v>
      </c>
      <c r="J63">
        <f t="shared" si="9"/>
        <v>1998</v>
      </c>
      <c r="K63">
        <v>3</v>
      </c>
      <c r="L63" s="107">
        <f t="shared" si="0"/>
        <v>35855</v>
      </c>
    </row>
    <row r="64" spans="1:12" x14ac:dyDescent="0.2">
      <c r="B64" s="57" t="s">
        <v>363</v>
      </c>
      <c r="C64" s="58">
        <v>1459.71</v>
      </c>
      <c r="D64" s="58">
        <v>0.24</v>
      </c>
      <c r="E64" s="58">
        <v>1.04</v>
      </c>
      <c r="F64" s="58">
        <v>2.37</v>
      </c>
      <c r="G64" s="58">
        <v>1.76</v>
      </c>
      <c r="H64" s="59">
        <v>3.85</v>
      </c>
      <c r="J64">
        <f t="shared" si="9"/>
        <v>1998</v>
      </c>
      <c r="K64">
        <v>4</v>
      </c>
      <c r="L64" s="107">
        <f t="shared" si="0"/>
        <v>35886</v>
      </c>
    </row>
    <row r="65" spans="1:12" x14ac:dyDescent="0.2">
      <c r="B65" s="57" t="s">
        <v>364</v>
      </c>
      <c r="C65" s="58">
        <v>1467.01</v>
      </c>
      <c r="D65" s="58">
        <v>0.5</v>
      </c>
      <c r="E65" s="58">
        <v>1.08</v>
      </c>
      <c r="F65" s="58">
        <v>2.71</v>
      </c>
      <c r="G65" s="58">
        <v>2.27</v>
      </c>
      <c r="H65" s="59">
        <v>3.95</v>
      </c>
      <c r="J65">
        <f t="shared" si="9"/>
        <v>1998</v>
      </c>
      <c r="K65">
        <v>5</v>
      </c>
      <c r="L65" s="107">
        <f t="shared" si="0"/>
        <v>35916</v>
      </c>
    </row>
    <row r="66" spans="1:12" x14ac:dyDescent="0.2">
      <c r="B66" s="57" t="s">
        <v>365</v>
      </c>
      <c r="C66" s="58">
        <v>1467.3</v>
      </c>
      <c r="D66" s="58">
        <v>0.02</v>
      </c>
      <c r="E66" s="58">
        <v>0.76</v>
      </c>
      <c r="F66" s="58">
        <v>2.29</v>
      </c>
      <c r="G66" s="58">
        <v>2.29</v>
      </c>
      <c r="H66" s="59">
        <v>3.41</v>
      </c>
      <c r="J66">
        <f t="shared" si="9"/>
        <v>1998</v>
      </c>
      <c r="K66">
        <v>6</v>
      </c>
      <c r="L66" s="107">
        <f t="shared" si="0"/>
        <v>35947</v>
      </c>
    </row>
    <row r="67" spans="1:12" x14ac:dyDescent="0.2">
      <c r="B67" s="57" t="s">
        <v>366</v>
      </c>
      <c r="C67" s="58">
        <v>1465.54</v>
      </c>
      <c r="D67" s="58">
        <v>-0.12</v>
      </c>
      <c r="E67" s="58">
        <v>0.4</v>
      </c>
      <c r="F67" s="58">
        <v>1.45</v>
      </c>
      <c r="G67" s="58">
        <v>2.17</v>
      </c>
      <c r="H67" s="59">
        <v>3.06</v>
      </c>
      <c r="J67">
        <f t="shared" si="9"/>
        <v>1998</v>
      </c>
      <c r="K67">
        <v>7</v>
      </c>
      <c r="L67" s="107">
        <f t="shared" si="0"/>
        <v>35977</v>
      </c>
    </row>
    <row r="68" spans="1:12" x14ac:dyDescent="0.2">
      <c r="B68" s="57" t="s">
        <v>367</v>
      </c>
      <c r="C68" s="58">
        <v>1458.07</v>
      </c>
      <c r="D68" s="58">
        <v>-0.51</v>
      </c>
      <c r="E68" s="58">
        <v>-0.61</v>
      </c>
      <c r="F68" s="58">
        <v>0.47</v>
      </c>
      <c r="G68" s="58">
        <v>1.65</v>
      </c>
      <c r="H68" s="59">
        <v>2.5499999999999998</v>
      </c>
      <c r="J68">
        <f t="shared" si="9"/>
        <v>1998</v>
      </c>
      <c r="K68">
        <v>8</v>
      </c>
      <c r="L68" s="107">
        <f t="shared" si="0"/>
        <v>36008</v>
      </c>
    </row>
    <row r="69" spans="1:12" x14ac:dyDescent="0.2">
      <c r="A69" s="60"/>
      <c r="B69" s="65" t="s">
        <v>368</v>
      </c>
      <c r="C69" s="66">
        <v>1454.86</v>
      </c>
      <c r="D69" s="66">
        <v>-0.22</v>
      </c>
      <c r="E69" s="66">
        <v>-0.85</v>
      </c>
      <c r="F69" s="66">
        <v>-0.09</v>
      </c>
      <c r="G69" s="58">
        <v>1.42</v>
      </c>
      <c r="H69" s="59">
        <v>2.27</v>
      </c>
      <c r="J69">
        <f t="shared" si="9"/>
        <v>1998</v>
      </c>
      <c r="K69">
        <v>9</v>
      </c>
      <c r="L69" s="107">
        <f t="shared" si="0"/>
        <v>36039</v>
      </c>
    </row>
    <row r="70" spans="1:12" x14ac:dyDescent="0.2">
      <c r="A70" s="60"/>
      <c r="B70" s="65" t="s">
        <v>369</v>
      </c>
      <c r="C70" s="66">
        <v>1455.15</v>
      </c>
      <c r="D70" s="66">
        <v>0.02</v>
      </c>
      <c r="E70" s="66">
        <v>-0.71</v>
      </c>
      <c r="F70" s="66">
        <v>-0.31</v>
      </c>
      <c r="G70" s="58">
        <v>1.44</v>
      </c>
      <c r="H70" s="59">
        <v>2.0499999999999998</v>
      </c>
      <c r="J70">
        <f t="shared" si="9"/>
        <v>1998</v>
      </c>
      <c r="K70">
        <v>10</v>
      </c>
      <c r="L70" s="107">
        <f t="shared" si="0"/>
        <v>36069</v>
      </c>
    </row>
    <row r="71" spans="1:12" x14ac:dyDescent="0.2">
      <c r="B71" s="57" t="s">
        <v>370</v>
      </c>
      <c r="C71" s="58">
        <v>1453.4</v>
      </c>
      <c r="D71" s="70">
        <v>-0.12</v>
      </c>
      <c r="E71" s="66">
        <v>-0.32</v>
      </c>
      <c r="F71" s="66">
        <v>-0.93</v>
      </c>
      <c r="G71" s="58">
        <v>1.32</v>
      </c>
      <c r="H71" s="59">
        <v>1.76</v>
      </c>
      <c r="J71">
        <f t="shared" si="9"/>
        <v>1998</v>
      </c>
      <c r="K71">
        <v>11</v>
      </c>
      <c r="L71" s="107">
        <f t="shared" si="0"/>
        <v>36100</v>
      </c>
    </row>
    <row r="72" spans="1:12" ht="15" thickBot="1" x14ac:dyDescent="0.25">
      <c r="A72" s="71"/>
      <c r="B72" s="72" t="s">
        <v>371</v>
      </c>
      <c r="C72" s="73">
        <v>1458.2</v>
      </c>
      <c r="D72" s="73">
        <v>0.33</v>
      </c>
      <c r="E72" s="73">
        <v>0.23</v>
      </c>
      <c r="F72" s="73">
        <v>-0.62</v>
      </c>
      <c r="G72" s="73">
        <v>1.65</v>
      </c>
      <c r="H72" s="74">
        <v>1.65</v>
      </c>
      <c r="J72">
        <f t="shared" si="9"/>
        <v>1998</v>
      </c>
      <c r="K72">
        <v>12</v>
      </c>
      <c r="L72" s="107">
        <f t="shared" si="0"/>
        <v>36130</v>
      </c>
    </row>
    <row r="73" spans="1:12" ht="15" thickTop="1" x14ac:dyDescent="0.2">
      <c r="B73" s="75"/>
      <c r="C73" s="76"/>
      <c r="D73" s="76"/>
      <c r="E73" s="76"/>
      <c r="F73" s="76"/>
      <c r="G73" s="76"/>
      <c r="H73" s="67"/>
      <c r="L73" s="107" t="e">
        <f t="shared" si="0"/>
        <v>#NUM!</v>
      </c>
    </row>
    <row r="74" spans="1:12" ht="16" x14ac:dyDescent="0.2">
      <c r="A74" s="106" t="s">
        <v>241</v>
      </c>
      <c r="B74" s="106"/>
      <c r="C74" s="106"/>
      <c r="D74" s="106"/>
      <c r="E74" s="106"/>
      <c r="F74" s="106"/>
      <c r="G74" s="106"/>
      <c r="H74" s="106"/>
      <c r="L74" s="107" t="e">
        <f t="shared" ref="L74:L137" si="10">DATE(J74,K74,1)</f>
        <v>#NUM!</v>
      </c>
    </row>
    <row r="75" spans="1:12" ht="17" x14ac:dyDescent="0.25">
      <c r="A75" s="105" t="s">
        <v>350</v>
      </c>
      <c r="B75" s="105"/>
      <c r="C75" s="105"/>
      <c r="D75" s="105"/>
      <c r="E75" s="105"/>
      <c r="F75" s="105"/>
      <c r="G75" s="105"/>
      <c r="H75" s="105"/>
      <c r="L75" s="107" t="e">
        <f t="shared" si="10"/>
        <v>#NUM!</v>
      </c>
    </row>
    <row r="76" spans="1:12" ht="15" thickBot="1" x14ac:dyDescent="0.25">
      <c r="A76" s="33"/>
      <c r="B76" s="33"/>
      <c r="C76" s="34"/>
      <c r="D76" s="33"/>
      <c r="E76" s="33"/>
      <c r="F76" s="33"/>
      <c r="G76" s="33"/>
      <c r="H76" s="35" t="s">
        <v>372</v>
      </c>
      <c r="L76" s="107" t="e">
        <f t="shared" si="10"/>
        <v>#NUM!</v>
      </c>
    </row>
    <row r="77" spans="1:12" ht="15" thickTop="1" x14ac:dyDescent="0.2">
      <c r="A77" s="36"/>
      <c r="B77" s="36"/>
      <c r="C77" s="37"/>
      <c r="D77" s="38"/>
      <c r="E77" s="39"/>
      <c r="F77" s="39" t="s">
        <v>352</v>
      </c>
      <c r="G77" s="39"/>
      <c r="H77" s="40"/>
      <c r="L77" s="107" t="e">
        <f t="shared" si="10"/>
        <v>#NUM!</v>
      </c>
    </row>
    <row r="78" spans="1:12" x14ac:dyDescent="0.2">
      <c r="A78" s="41" t="s">
        <v>353</v>
      </c>
      <c r="B78" s="42" t="s">
        <v>354</v>
      </c>
      <c r="C78" s="43" t="s">
        <v>355</v>
      </c>
      <c r="D78" s="103" t="s">
        <v>356</v>
      </c>
      <c r="E78" s="103"/>
      <c r="F78" s="103"/>
      <c r="G78" s="103"/>
      <c r="H78" s="103"/>
      <c r="L78" s="107" t="e">
        <f t="shared" si="10"/>
        <v>#NUM!</v>
      </c>
    </row>
    <row r="79" spans="1:12" x14ac:dyDescent="0.2">
      <c r="A79" s="41"/>
      <c r="B79" s="42"/>
      <c r="C79" s="44" t="s">
        <v>357</v>
      </c>
      <c r="D79" s="45" t="s">
        <v>358</v>
      </c>
      <c r="E79" s="45">
        <v>3</v>
      </c>
      <c r="F79" s="45">
        <v>6</v>
      </c>
      <c r="G79" s="45" t="s">
        <v>358</v>
      </c>
      <c r="H79" s="46">
        <v>12</v>
      </c>
      <c r="L79" s="107" t="e">
        <f t="shared" si="10"/>
        <v>#NUM!</v>
      </c>
    </row>
    <row r="80" spans="1:12" ht="15" thickBot="1" x14ac:dyDescent="0.25">
      <c r="A80" s="47"/>
      <c r="B80" s="47"/>
      <c r="C80" s="48"/>
      <c r="D80" s="49" t="s">
        <v>354</v>
      </c>
      <c r="E80" s="50" t="s">
        <v>359</v>
      </c>
      <c r="F80" s="50" t="s">
        <v>359</v>
      </c>
      <c r="G80" s="50" t="s">
        <v>353</v>
      </c>
      <c r="H80" s="51" t="s">
        <v>359</v>
      </c>
      <c r="L80" s="107" t="e">
        <f t="shared" si="10"/>
        <v>#NUM!</v>
      </c>
    </row>
    <row r="81" spans="1:12" x14ac:dyDescent="0.2">
      <c r="A81" s="52"/>
      <c r="B81" s="52"/>
      <c r="C81" s="53"/>
      <c r="D81" s="54"/>
      <c r="E81" s="55"/>
      <c r="F81" s="55"/>
      <c r="G81" s="55"/>
      <c r="H81" s="56"/>
      <c r="L81" s="107" t="e">
        <f t="shared" si="10"/>
        <v>#NUM!</v>
      </c>
    </row>
    <row r="82" spans="1:12" x14ac:dyDescent="0.2">
      <c r="A82" s="54">
        <v>1999</v>
      </c>
      <c r="B82" s="57" t="s">
        <v>360</v>
      </c>
      <c r="C82" s="58">
        <v>1468.41</v>
      </c>
      <c r="D82" s="70">
        <v>0.7</v>
      </c>
      <c r="E82" s="66">
        <v>0.91</v>
      </c>
      <c r="F82" s="66">
        <v>0.2</v>
      </c>
      <c r="G82" s="66">
        <v>0.7</v>
      </c>
      <c r="H82" s="67">
        <v>1.65</v>
      </c>
      <c r="J82">
        <f>A82</f>
        <v>1999</v>
      </c>
      <c r="K82">
        <v>1</v>
      </c>
      <c r="L82" s="107">
        <f t="shared" si="10"/>
        <v>36161</v>
      </c>
    </row>
    <row r="83" spans="1:12" x14ac:dyDescent="0.2">
      <c r="B83" s="57" t="s">
        <v>361</v>
      </c>
      <c r="C83" s="58">
        <v>1483.83</v>
      </c>
      <c r="D83" s="58">
        <v>1.05</v>
      </c>
      <c r="E83" s="58">
        <v>2.09</v>
      </c>
      <c r="F83" s="58">
        <v>1.77</v>
      </c>
      <c r="G83" s="58">
        <v>1.76</v>
      </c>
      <c r="H83" s="59">
        <v>2.2400000000000002</v>
      </c>
      <c r="J83">
        <f>J82</f>
        <v>1999</v>
      </c>
      <c r="K83">
        <v>2</v>
      </c>
      <c r="L83" s="107">
        <f t="shared" si="10"/>
        <v>36192</v>
      </c>
    </row>
    <row r="84" spans="1:12" x14ac:dyDescent="0.2">
      <c r="B84" s="57" t="s">
        <v>362</v>
      </c>
      <c r="C84" s="58">
        <v>1500.15</v>
      </c>
      <c r="D84" s="58">
        <v>1.1000000000000001</v>
      </c>
      <c r="E84" s="58">
        <v>2.88</v>
      </c>
      <c r="F84" s="58">
        <v>3.11</v>
      </c>
      <c r="G84" s="58">
        <v>2.88</v>
      </c>
      <c r="H84" s="59">
        <v>3.02</v>
      </c>
      <c r="J84">
        <f t="shared" ref="J84:J93" si="11">J83</f>
        <v>1999</v>
      </c>
      <c r="K84">
        <v>3</v>
      </c>
      <c r="L84" s="107">
        <f t="shared" si="10"/>
        <v>36220</v>
      </c>
    </row>
    <row r="85" spans="1:12" x14ac:dyDescent="0.2">
      <c r="B85" s="57" t="s">
        <v>363</v>
      </c>
      <c r="C85" s="58">
        <v>1508.55</v>
      </c>
      <c r="D85" s="58">
        <v>0.56000000000000005</v>
      </c>
      <c r="E85" s="58">
        <v>2.73</v>
      </c>
      <c r="F85" s="58">
        <v>3.67</v>
      </c>
      <c r="G85" s="58">
        <v>3.45</v>
      </c>
      <c r="H85" s="59">
        <v>3.35</v>
      </c>
      <c r="J85">
        <f t="shared" si="11"/>
        <v>1999</v>
      </c>
      <c r="K85">
        <v>4</v>
      </c>
      <c r="L85" s="107">
        <f t="shared" si="10"/>
        <v>36251</v>
      </c>
    </row>
    <row r="86" spans="1:12" x14ac:dyDescent="0.2">
      <c r="B86" s="57" t="s">
        <v>364</v>
      </c>
      <c r="C86" s="58">
        <v>1513.08</v>
      </c>
      <c r="D86" s="58">
        <v>0.3</v>
      </c>
      <c r="E86" s="58">
        <v>1.97</v>
      </c>
      <c r="F86" s="58">
        <v>4.1100000000000003</v>
      </c>
      <c r="G86" s="58">
        <v>3.76</v>
      </c>
      <c r="H86" s="59">
        <v>3.14</v>
      </c>
      <c r="J86">
        <f t="shared" si="11"/>
        <v>1999</v>
      </c>
      <c r="K86">
        <v>5</v>
      </c>
      <c r="L86" s="107">
        <f t="shared" si="10"/>
        <v>36281</v>
      </c>
    </row>
    <row r="87" spans="1:12" x14ac:dyDescent="0.2">
      <c r="B87" s="57" t="s">
        <v>365</v>
      </c>
      <c r="C87" s="58">
        <v>1515.95</v>
      </c>
      <c r="D87" s="58">
        <v>0.19</v>
      </c>
      <c r="E87" s="58">
        <v>1.05</v>
      </c>
      <c r="F87" s="58">
        <v>3.96</v>
      </c>
      <c r="G87" s="58">
        <v>3.96</v>
      </c>
      <c r="H87" s="59">
        <v>3.32</v>
      </c>
      <c r="J87">
        <f t="shared" si="11"/>
        <v>1999</v>
      </c>
      <c r="K87">
        <v>6</v>
      </c>
      <c r="L87" s="107">
        <f t="shared" si="10"/>
        <v>36312</v>
      </c>
    </row>
    <row r="88" spans="1:12" x14ac:dyDescent="0.2">
      <c r="B88" s="57" t="s">
        <v>366</v>
      </c>
      <c r="C88" s="58">
        <v>1532.47</v>
      </c>
      <c r="D88" s="70">
        <v>1.0900000000000001</v>
      </c>
      <c r="E88" s="66">
        <v>1.59</v>
      </c>
      <c r="F88" s="66">
        <v>4.3600000000000003</v>
      </c>
      <c r="G88" s="66">
        <v>5.09</v>
      </c>
      <c r="H88" s="67">
        <v>4.57</v>
      </c>
      <c r="J88">
        <f t="shared" si="11"/>
        <v>1999</v>
      </c>
      <c r="K88">
        <v>7</v>
      </c>
      <c r="L88" s="107">
        <f t="shared" si="10"/>
        <v>36342</v>
      </c>
    </row>
    <row r="89" spans="1:12" x14ac:dyDescent="0.2">
      <c r="B89" s="57" t="s">
        <v>367</v>
      </c>
      <c r="C89" s="58">
        <v>1541.05</v>
      </c>
      <c r="D89" s="58">
        <v>0.56000000000000005</v>
      </c>
      <c r="E89" s="58">
        <v>1.85</v>
      </c>
      <c r="F89" s="58">
        <v>3.86</v>
      </c>
      <c r="G89" s="58">
        <v>5.68</v>
      </c>
      <c r="H89" s="59">
        <v>5.69</v>
      </c>
      <c r="J89">
        <f t="shared" si="11"/>
        <v>1999</v>
      </c>
      <c r="K89">
        <v>8</v>
      </c>
      <c r="L89" s="107">
        <f t="shared" si="10"/>
        <v>36373</v>
      </c>
    </row>
    <row r="90" spans="1:12" x14ac:dyDescent="0.2">
      <c r="B90" s="77" t="s">
        <v>368</v>
      </c>
      <c r="C90" s="66">
        <v>1545.83</v>
      </c>
      <c r="D90" s="66">
        <v>0.31</v>
      </c>
      <c r="E90" s="66">
        <v>1.97</v>
      </c>
      <c r="F90" s="66">
        <v>3.05</v>
      </c>
      <c r="G90" s="66">
        <v>6.01</v>
      </c>
      <c r="H90" s="67">
        <v>6.25</v>
      </c>
      <c r="J90">
        <f t="shared" si="11"/>
        <v>1999</v>
      </c>
      <c r="K90">
        <v>9</v>
      </c>
      <c r="L90" s="107">
        <f t="shared" si="10"/>
        <v>36404</v>
      </c>
    </row>
    <row r="91" spans="1:12" x14ac:dyDescent="0.2">
      <c r="B91" s="57" t="s">
        <v>369</v>
      </c>
      <c r="C91" s="58">
        <v>1564.23</v>
      </c>
      <c r="D91" s="58">
        <v>1.19</v>
      </c>
      <c r="E91" s="58">
        <v>2.0699999999999998</v>
      </c>
      <c r="F91" s="58">
        <v>3.69</v>
      </c>
      <c r="G91" s="58">
        <v>7.27</v>
      </c>
      <c r="H91" s="59">
        <v>7.5</v>
      </c>
      <c r="J91">
        <f t="shared" si="11"/>
        <v>1999</v>
      </c>
      <c r="K91">
        <v>10</v>
      </c>
      <c r="L91" s="107">
        <f t="shared" si="10"/>
        <v>36434</v>
      </c>
    </row>
    <row r="92" spans="1:12" x14ac:dyDescent="0.2">
      <c r="B92" s="57" t="s">
        <v>370</v>
      </c>
      <c r="C92" s="58">
        <v>1579.09</v>
      </c>
      <c r="D92" s="58">
        <v>0.95</v>
      </c>
      <c r="E92" s="58">
        <v>2.4700000000000002</v>
      </c>
      <c r="F92" s="58">
        <v>4.3600000000000003</v>
      </c>
      <c r="G92" s="58">
        <v>8.2899999999999991</v>
      </c>
      <c r="H92" s="59">
        <v>8.65</v>
      </c>
      <c r="J92">
        <f t="shared" si="11"/>
        <v>1999</v>
      </c>
      <c r="K92">
        <v>11</v>
      </c>
      <c r="L92" s="107">
        <f t="shared" si="10"/>
        <v>36465</v>
      </c>
    </row>
    <row r="93" spans="1:12" x14ac:dyDescent="0.2">
      <c r="A93" s="60"/>
      <c r="B93" s="65" t="s">
        <v>371</v>
      </c>
      <c r="C93" s="66">
        <v>1588.56</v>
      </c>
      <c r="D93" s="66">
        <v>0.6</v>
      </c>
      <c r="E93" s="66">
        <v>2.76</v>
      </c>
      <c r="F93" s="66">
        <v>4.79</v>
      </c>
      <c r="G93" s="66">
        <v>8.94</v>
      </c>
      <c r="H93" s="67">
        <v>8.94</v>
      </c>
      <c r="J93">
        <f t="shared" si="11"/>
        <v>1999</v>
      </c>
      <c r="K93">
        <v>12</v>
      </c>
      <c r="L93" s="107">
        <f t="shared" si="10"/>
        <v>36495</v>
      </c>
    </row>
    <row r="94" spans="1:12" x14ac:dyDescent="0.2">
      <c r="A94" s="52"/>
      <c r="B94" s="52"/>
      <c r="C94" s="61"/>
      <c r="D94" s="62"/>
      <c r="E94" s="63"/>
      <c r="F94" s="63"/>
      <c r="G94" s="63"/>
      <c r="H94" s="64"/>
      <c r="L94" s="107" t="e">
        <f t="shared" si="10"/>
        <v>#NUM!</v>
      </c>
    </row>
    <row r="95" spans="1:12" x14ac:dyDescent="0.2">
      <c r="A95" s="54">
        <v>2000</v>
      </c>
      <c r="B95" s="57" t="s">
        <v>360</v>
      </c>
      <c r="C95" s="58">
        <v>1598.41</v>
      </c>
      <c r="D95" s="70">
        <v>0.62</v>
      </c>
      <c r="E95" s="66">
        <v>2.19</v>
      </c>
      <c r="F95" s="66">
        <v>4.3</v>
      </c>
      <c r="G95" s="66">
        <v>0.62</v>
      </c>
      <c r="H95" s="67">
        <v>8.85</v>
      </c>
      <c r="J95">
        <f t="shared" ref="J95" si="12">A95</f>
        <v>2000</v>
      </c>
      <c r="K95">
        <v>1</v>
      </c>
      <c r="L95" s="107">
        <f t="shared" si="10"/>
        <v>36526</v>
      </c>
    </row>
    <row r="96" spans="1:12" x14ac:dyDescent="0.2">
      <c r="B96" s="57" t="s">
        <v>361</v>
      </c>
      <c r="C96" s="70">
        <v>1600.49</v>
      </c>
      <c r="D96" s="70">
        <v>0.13</v>
      </c>
      <c r="E96" s="66">
        <v>1.36</v>
      </c>
      <c r="F96" s="69">
        <v>3.86</v>
      </c>
      <c r="G96" s="66">
        <v>0.75</v>
      </c>
      <c r="H96" s="67">
        <v>7.86</v>
      </c>
      <c r="J96">
        <f t="shared" ref="J96:J106" si="13">J95</f>
        <v>2000</v>
      </c>
      <c r="K96">
        <v>2</v>
      </c>
      <c r="L96" s="107">
        <f t="shared" si="10"/>
        <v>36557</v>
      </c>
    </row>
    <row r="97" spans="1:12" x14ac:dyDescent="0.2">
      <c r="B97" s="57" t="s">
        <v>362</v>
      </c>
      <c r="C97" s="58">
        <v>1604.01</v>
      </c>
      <c r="D97" s="78">
        <v>0.22</v>
      </c>
      <c r="E97" s="79">
        <v>0.97</v>
      </c>
      <c r="F97" s="80">
        <v>3.76</v>
      </c>
      <c r="G97" s="79">
        <v>0.97</v>
      </c>
      <c r="H97" s="67">
        <v>6.92</v>
      </c>
      <c r="J97">
        <f t="shared" si="13"/>
        <v>2000</v>
      </c>
      <c r="K97">
        <v>3</v>
      </c>
      <c r="L97" s="107">
        <f t="shared" si="10"/>
        <v>36586</v>
      </c>
    </row>
    <row r="98" spans="1:12" x14ac:dyDescent="0.2">
      <c r="B98" s="57" t="s">
        <v>363</v>
      </c>
      <c r="C98" s="58">
        <v>1610.75</v>
      </c>
      <c r="D98" s="58">
        <v>0.42</v>
      </c>
      <c r="E98" s="58">
        <v>0.77</v>
      </c>
      <c r="F98" s="68">
        <v>2.97</v>
      </c>
      <c r="G98" s="58">
        <v>1.4</v>
      </c>
      <c r="H98" s="59">
        <v>6.77</v>
      </c>
      <c r="J98">
        <f t="shared" si="13"/>
        <v>2000</v>
      </c>
      <c r="K98">
        <v>4</v>
      </c>
      <c r="L98" s="107">
        <f t="shared" si="10"/>
        <v>36617</v>
      </c>
    </row>
    <row r="99" spans="1:12" x14ac:dyDescent="0.2">
      <c r="B99" s="57" t="s">
        <v>364</v>
      </c>
      <c r="C99" s="58">
        <v>1610.91</v>
      </c>
      <c r="D99" s="58">
        <v>0.01</v>
      </c>
      <c r="E99" s="58">
        <v>0.65</v>
      </c>
      <c r="F99" s="68">
        <v>2.02</v>
      </c>
      <c r="G99" s="58">
        <v>1.41</v>
      </c>
      <c r="H99" s="59">
        <v>6.47</v>
      </c>
      <c r="J99">
        <f t="shared" si="13"/>
        <v>2000</v>
      </c>
      <c r="K99">
        <v>5</v>
      </c>
      <c r="L99" s="107">
        <f t="shared" si="10"/>
        <v>36647</v>
      </c>
    </row>
    <row r="100" spans="1:12" x14ac:dyDescent="0.2">
      <c r="B100" s="57" t="s">
        <v>365</v>
      </c>
      <c r="C100" s="58">
        <v>1614.62</v>
      </c>
      <c r="D100" s="58">
        <v>0.23</v>
      </c>
      <c r="E100" s="58">
        <v>0.66</v>
      </c>
      <c r="F100" s="68">
        <v>1.64</v>
      </c>
      <c r="G100" s="58">
        <v>1.64</v>
      </c>
      <c r="H100" s="59">
        <v>6.51</v>
      </c>
      <c r="J100">
        <f t="shared" si="13"/>
        <v>2000</v>
      </c>
      <c r="K100">
        <v>6</v>
      </c>
      <c r="L100" s="107">
        <f t="shared" si="10"/>
        <v>36678</v>
      </c>
    </row>
    <row r="101" spans="1:12" x14ac:dyDescent="0.2">
      <c r="B101" s="57" t="s">
        <v>366</v>
      </c>
      <c r="C101" s="58">
        <v>1640.62</v>
      </c>
      <c r="D101" s="70">
        <v>1.61</v>
      </c>
      <c r="E101" s="66">
        <v>1.85</v>
      </c>
      <c r="F101" s="66">
        <v>2.64</v>
      </c>
      <c r="G101" s="66">
        <v>3.28</v>
      </c>
      <c r="H101" s="67">
        <v>7.06</v>
      </c>
      <c r="J101">
        <f t="shared" si="13"/>
        <v>2000</v>
      </c>
      <c r="K101">
        <v>7</v>
      </c>
      <c r="L101" s="107">
        <f t="shared" si="10"/>
        <v>36708</v>
      </c>
    </row>
    <row r="102" spans="1:12" x14ac:dyDescent="0.2">
      <c r="B102" s="57" t="s">
        <v>367</v>
      </c>
      <c r="C102" s="58">
        <v>1662.11</v>
      </c>
      <c r="D102" s="58">
        <v>1.31</v>
      </c>
      <c r="E102" s="58">
        <v>3.18</v>
      </c>
      <c r="F102" s="58">
        <v>3.85</v>
      </c>
      <c r="G102" s="58">
        <v>4.63</v>
      </c>
      <c r="H102" s="59">
        <v>7.86</v>
      </c>
      <c r="J102">
        <f t="shared" si="13"/>
        <v>2000</v>
      </c>
      <c r="K102">
        <v>8</v>
      </c>
      <c r="L102" s="107">
        <f t="shared" si="10"/>
        <v>36739</v>
      </c>
    </row>
    <row r="103" spans="1:12" x14ac:dyDescent="0.2">
      <c r="A103" s="60"/>
      <c r="B103" s="65" t="s">
        <v>368</v>
      </c>
      <c r="C103" s="66">
        <v>1665.93</v>
      </c>
      <c r="D103" s="66">
        <v>0.23</v>
      </c>
      <c r="E103" s="66">
        <v>3.18</v>
      </c>
      <c r="F103" s="66">
        <v>3.86</v>
      </c>
      <c r="G103" s="66">
        <v>4.87</v>
      </c>
      <c r="H103" s="67">
        <v>7.77</v>
      </c>
      <c r="J103">
        <f t="shared" si="13"/>
        <v>2000</v>
      </c>
      <c r="K103">
        <v>9</v>
      </c>
      <c r="L103" s="107">
        <f t="shared" si="10"/>
        <v>36770</v>
      </c>
    </row>
    <row r="104" spans="1:12" x14ac:dyDescent="0.2">
      <c r="A104" s="60"/>
      <c r="B104" s="65" t="s">
        <v>369</v>
      </c>
      <c r="C104" s="66">
        <v>1668.26</v>
      </c>
      <c r="D104" s="66">
        <v>0.14000000000000001</v>
      </c>
      <c r="E104" s="66">
        <v>1.68</v>
      </c>
      <c r="F104" s="66">
        <v>3.57</v>
      </c>
      <c r="G104" s="66">
        <v>5.0199999999999996</v>
      </c>
      <c r="H104" s="67">
        <v>6.65</v>
      </c>
      <c r="J104">
        <f t="shared" si="13"/>
        <v>2000</v>
      </c>
      <c r="K104">
        <v>10</v>
      </c>
      <c r="L104" s="107">
        <f t="shared" si="10"/>
        <v>36800</v>
      </c>
    </row>
    <row r="105" spans="1:12" x14ac:dyDescent="0.2">
      <c r="A105" s="60"/>
      <c r="B105" s="65" t="s">
        <v>370</v>
      </c>
      <c r="C105" s="66">
        <v>1673.6</v>
      </c>
      <c r="D105" s="66">
        <v>0.32</v>
      </c>
      <c r="E105" s="66">
        <v>0.69</v>
      </c>
      <c r="F105" s="66">
        <v>3.89</v>
      </c>
      <c r="G105" s="66">
        <v>5.35</v>
      </c>
      <c r="H105" s="67">
        <v>5.99</v>
      </c>
      <c r="J105">
        <f t="shared" si="13"/>
        <v>2000</v>
      </c>
      <c r="K105">
        <v>11</v>
      </c>
      <c r="L105" s="107">
        <f t="shared" si="10"/>
        <v>36831</v>
      </c>
    </row>
    <row r="106" spans="1:12" x14ac:dyDescent="0.2">
      <c r="A106" s="60"/>
      <c r="B106" s="65" t="s">
        <v>371</v>
      </c>
      <c r="C106" s="66">
        <v>1683.47</v>
      </c>
      <c r="D106" s="66">
        <v>0.59</v>
      </c>
      <c r="E106" s="66">
        <v>1.05</v>
      </c>
      <c r="F106" s="66">
        <v>4.26</v>
      </c>
      <c r="G106" s="66">
        <v>5.97</v>
      </c>
      <c r="H106" s="67">
        <v>5.97</v>
      </c>
      <c r="J106">
        <f t="shared" si="13"/>
        <v>2000</v>
      </c>
      <c r="K106">
        <v>12</v>
      </c>
      <c r="L106" s="107">
        <f t="shared" si="10"/>
        <v>36861</v>
      </c>
    </row>
    <row r="107" spans="1:12" x14ac:dyDescent="0.2">
      <c r="A107" s="52"/>
      <c r="B107" s="52"/>
      <c r="C107" s="61"/>
      <c r="D107" s="62"/>
      <c r="E107" s="63"/>
      <c r="F107" s="63"/>
      <c r="G107" s="63"/>
      <c r="H107" s="64"/>
      <c r="L107" s="107" t="e">
        <f t="shared" si="10"/>
        <v>#NUM!</v>
      </c>
    </row>
    <row r="108" spans="1:12" x14ac:dyDescent="0.2">
      <c r="A108" s="54">
        <v>2001</v>
      </c>
      <c r="B108" s="57" t="s">
        <v>360</v>
      </c>
      <c r="C108" s="58">
        <v>1693.07</v>
      </c>
      <c r="D108" s="70">
        <v>0.56999999999999995</v>
      </c>
      <c r="E108" s="66">
        <v>1.49</v>
      </c>
      <c r="F108" s="66">
        <v>3.2</v>
      </c>
      <c r="G108" s="66">
        <v>0.56999999999999995</v>
      </c>
      <c r="H108" s="76">
        <v>5.92</v>
      </c>
      <c r="J108">
        <f t="shared" ref="J108" si="14">A108</f>
        <v>2001</v>
      </c>
      <c r="K108">
        <v>1</v>
      </c>
      <c r="L108" s="107">
        <f t="shared" si="10"/>
        <v>36892</v>
      </c>
    </row>
    <row r="109" spans="1:12" x14ac:dyDescent="0.2">
      <c r="B109" s="57" t="s">
        <v>361</v>
      </c>
      <c r="C109" s="70">
        <v>1700.86</v>
      </c>
      <c r="D109" s="70">
        <v>0.46</v>
      </c>
      <c r="E109" s="66">
        <v>1.63</v>
      </c>
      <c r="F109" s="66">
        <v>2.33</v>
      </c>
      <c r="G109" s="66">
        <v>1.03</v>
      </c>
      <c r="H109" s="81">
        <v>6.27</v>
      </c>
      <c r="J109">
        <f t="shared" ref="J109:J119" si="15">J108</f>
        <v>2001</v>
      </c>
      <c r="K109">
        <v>2</v>
      </c>
      <c r="L109" s="107">
        <f t="shared" si="10"/>
        <v>36923</v>
      </c>
    </row>
    <row r="110" spans="1:12" x14ac:dyDescent="0.2">
      <c r="B110" s="57" t="s">
        <v>362</v>
      </c>
      <c r="C110" s="58">
        <v>1707.32</v>
      </c>
      <c r="D110" s="70">
        <v>0.38</v>
      </c>
      <c r="E110" s="66">
        <v>1.42</v>
      </c>
      <c r="F110" s="66">
        <v>2.48</v>
      </c>
      <c r="G110" s="66">
        <v>1.42</v>
      </c>
      <c r="H110" s="81">
        <v>6.44</v>
      </c>
      <c r="J110">
        <f t="shared" si="15"/>
        <v>2001</v>
      </c>
      <c r="K110">
        <v>3</v>
      </c>
      <c r="L110" s="107">
        <f t="shared" si="10"/>
        <v>36951</v>
      </c>
    </row>
    <row r="111" spans="1:12" x14ac:dyDescent="0.2">
      <c r="B111" s="57" t="s">
        <v>363</v>
      </c>
      <c r="C111" s="58">
        <v>1717.22</v>
      </c>
      <c r="D111" s="70">
        <v>0.57999999999999996</v>
      </c>
      <c r="E111" s="66">
        <v>1.43</v>
      </c>
      <c r="F111" s="66">
        <v>2.93</v>
      </c>
      <c r="G111" s="66">
        <v>2</v>
      </c>
      <c r="H111" s="81">
        <v>6.61</v>
      </c>
      <c r="J111">
        <f t="shared" si="15"/>
        <v>2001</v>
      </c>
      <c r="K111">
        <v>4</v>
      </c>
      <c r="L111" s="107">
        <f t="shared" si="10"/>
        <v>36982</v>
      </c>
    </row>
    <row r="112" spans="1:12" x14ac:dyDescent="0.2">
      <c r="B112" s="57" t="s">
        <v>364</v>
      </c>
      <c r="C112" s="58">
        <v>1724.26</v>
      </c>
      <c r="D112" s="70">
        <v>0.41</v>
      </c>
      <c r="E112" s="66">
        <v>1.38</v>
      </c>
      <c r="F112" s="66">
        <v>3.03</v>
      </c>
      <c r="G112" s="66">
        <v>2.42</v>
      </c>
      <c r="H112" s="81">
        <v>7.04</v>
      </c>
      <c r="J112">
        <f t="shared" si="15"/>
        <v>2001</v>
      </c>
      <c r="K112">
        <v>5</v>
      </c>
      <c r="L112" s="107">
        <f t="shared" si="10"/>
        <v>37012</v>
      </c>
    </row>
    <row r="113" spans="1:12" x14ac:dyDescent="0.2">
      <c r="B113" s="57" t="s">
        <v>365</v>
      </c>
      <c r="C113" s="58">
        <v>1733.23</v>
      </c>
      <c r="D113" s="70">
        <v>0.52</v>
      </c>
      <c r="E113" s="66">
        <v>1.52</v>
      </c>
      <c r="F113" s="66">
        <v>2.96</v>
      </c>
      <c r="G113" s="66">
        <v>2.96</v>
      </c>
      <c r="H113" s="81">
        <v>7.35</v>
      </c>
      <c r="J113">
        <f t="shared" si="15"/>
        <v>2001</v>
      </c>
      <c r="K113">
        <v>6</v>
      </c>
      <c r="L113" s="107">
        <f t="shared" si="10"/>
        <v>37043</v>
      </c>
    </row>
    <row r="114" spans="1:12" x14ac:dyDescent="0.2">
      <c r="B114" s="57" t="s">
        <v>366</v>
      </c>
      <c r="C114" s="58">
        <v>1756.28</v>
      </c>
      <c r="D114" s="70">
        <v>1.33</v>
      </c>
      <c r="E114" s="66">
        <v>2.27</v>
      </c>
      <c r="F114" s="66">
        <v>3.73</v>
      </c>
      <c r="G114" s="66">
        <v>4.32</v>
      </c>
      <c r="H114" s="81">
        <v>7.05</v>
      </c>
      <c r="J114">
        <f t="shared" si="15"/>
        <v>2001</v>
      </c>
      <c r="K114">
        <v>7</v>
      </c>
      <c r="L114" s="107">
        <f t="shared" si="10"/>
        <v>37073</v>
      </c>
    </row>
    <row r="115" spans="1:12" x14ac:dyDescent="0.2">
      <c r="B115" s="57" t="s">
        <v>367</v>
      </c>
      <c r="C115" s="58">
        <v>1768.57</v>
      </c>
      <c r="D115" s="70">
        <v>0.7</v>
      </c>
      <c r="E115" s="66">
        <v>2.57</v>
      </c>
      <c r="F115" s="66">
        <v>3.98</v>
      </c>
      <c r="G115" s="66">
        <v>5.0599999999999996</v>
      </c>
      <c r="H115" s="76">
        <v>6.41</v>
      </c>
      <c r="J115">
        <f t="shared" si="15"/>
        <v>2001</v>
      </c>
      <c r="K115">
        <v>8</v>
      </c>
      <c r="L115" s="107">
        <f t="shared" si="10"/>
        <v>37104</v>
      </c>
    </row>
    <row r="116" spans="1:12" x14ac:dyDescent="0.2">
      <c r="A116" s="60"/>
      <c r="B116" s="65" t="s">
        <v>368</v>
      </c>
      <c r="C116" s="66">
        <v>1773.52</v>
      </c>
      <c r="D116" s="66">
        <v>0.28000000000000003</v>
      </c>
      <c r="E116" s="66">
        <v>2.3199999999999998</v>
      </c>
      <c r="F116" s="66">
        <v>3.88</v>
      </c>
      <c r="G116" s="66">
        <v>5.35</v>
      </c>
      <c r="H116" s="81">
        <v>6.46</v>
      </c>
      <c r="J116">
        <f t="shared" si="15"/>
        <v>2001</v>
      </c>
      <c r="K116">
        <v>9</v>
      </c>
      <c r="L116" s="107">
        <f t="shared" si="10"/>
        <v>37135</v>
      </c>
    </row>
    <row r="117" spans="1:12" x14ac:dyDescent="0.2">
      <c r="A117" s="60"/>
      <c r="B117" s="65" t="s">
        <v>369</v>
      </c>
      <c r="C117" s="66">
        <v>1788.24</v>
      </c>
      <c r="D117" s="66">
        <v>0.83</v>
      </c>
      <c r="E117" s="66">
        <v>1.82</v>
      </c>
      <c r="F117" s="66">
        <v>4.1399999999999997</v>
      </c>
      <c r="G117" s="66">
        <v>6.22</v>
      </c>
      <c r="H117" s="81">
        <v>7.19</v>
      </c>
      <c r="J117">
        <f t="shared" si="15"/>
        <v>2001</v>
      </c>
      <c r="K117">
        <v>10</v>
      </c>
      <c r="L117" s="107">
        <f t="shared" si="10"/>
        <v>37165</v>
      </c>
    </row>
    <row r="118" spans="1:12" x14ac:dyDescent="0.2">
      <c r="A118" s="60"/>
      <c r="B118" s="65" t="s">
        <v>370</v>
      </c>
      <c r="C118" s="66">
        <v>1800.94</v>
      </c>
      <c r="D118" s="66">
        <v>0.71</v>
      </c>
      <c r="E118" s="66">
        <v>1.83</v>
      </c>
      <c r="F118" s="66">
        <v>4.45</v>
      </c>
      <c r="G118" s="66">
        <v>6.98</v>
      </c>
      <c r="H118" s="81">
        <v>7.61</v>
      </c>
      <c r="J118">
        <f t="shared" si="15"/>
        <v>2001</v>
      </c>
      <c r="K118">
        <v>11</v>
      </c>
      <c r="L118" s="107">
        <f t="shared" si="10"/>
        <v>37196</v>
      </c>
    </row>
    <row r="119" spans="1:12" x14ac:dyDescent="0.2">
      <c r="A119" s="60"/>
      <c r="B119" s="65" t="s">
        <v>371</v>
      </c>
      <c r="C119" s="66">
        <v>1812.65</v>
      </c>
      <c r="D119" s="66">
        <v>0.65</v>
      </c>
      <c r="E119" s="70">
        <v>2.21</v>
      </c>
      <c r="F119" s="66">
        <v>4.58</v>
      </c>
      <c r="G119" s="66">
        <v>7.67</v>
      </c>
      <c r="H119" s="81">
        <v>7.67</v>
      </c>
      <c r="J119">
        <f t="shared" si="15"/>
        <v>2001</v>
      </c>
      <c r="K119">
        <v>12</v>
      </c>
      <c r="L119" s="107">
        <f t="shared" si="10"/>
        <v>37226</v>
      </c>
    </row>
    <row r="120" spans="1:12" x14ac:dyDescent="0.2">
      <c r="A120" s="52"/>
      <c r="B120" s="52"/>
      <c r="C120" s="61"/>
      <c r="D120" s="62"/>
      <c r="E120" s="63"/>
      <c r="F120" s="63"/>
      <c r="G120" s="63"/>
      <c r="H120" s="64"/>
      <c r="L120" s="107" t="e">
        <f t="shared" si="10"/>
        <v>#NUM!</v>
      </c>
    </row>
    <row r="121" spans="1:12" x14ac:dyDescent="0.2">
      <c r="A121" s="54">
        <v>2002</v>
      </c>
      <c r="B121" s="57" t="s">
        <v>360</v>
      </c>
      <c r="C121" s="58">
        <v>1822.08</v>
      </c>
      <c r="D121" s="70">
        <v>0.52</v>
      </c>
      <c r="E121" s="66">
        <v>1.89</v>
      </c>
      <c r="F121" s="66">
        <v>3.75</v>
      </c>
      <c r="G121" s="66">
        <v>0.52</v>
      </c>
      <c r="H121" s="67">
        <v>7.62</v>
      </c>
      <c r="J121">
        <f t="shared" ref="J121" si="16">A121</f>
        <v>2002</v>
      </c>
      <c r="K121">
        <v>1</v>
      </c>
      <c r="L121" s="107">
        <f t="shared" si="10"/>
        <v>37257</v>
      </c>
    </row>
    <row r="122" spans="1:12" x14ac:dyDescent="0.2">
      <c r="B122" s="57" t="s">
        <v>361</v>
      </c>
      <c r="C122" s="58">
        <v>1828.64</v>
      </c>
      <c r="D122" s="58">
        <v>0.36</v>
      </c>
      <c r="E122" s="70">
        <v>1.54</v>
      </c>
      <c r="F122" s="66">
        <v>3.4</v>
      </c>
      <c r="G122" s="66">
        <v>0.88</v>
      </c>
      <c r="H122" s="67">
        <v>7.51</v>
      </c>
      <c r="J122">
        <f t="shared" ref="J122:J132" si="17">J121</f>
        <v>2002</v>
      </c>
      <c r="K122">
        <v>2</v>
      </c>
      <c r="L122" s="107">
        <f t="shared" si="10"/>
        <v>37288</v>
      </c>
    </row>
    <row r="123" spans="1:12" x14ac:dyDescent="0.2">
      <c r="B123" s="57" t="s">
        <v>362</v>
      </c>
      <c r="C123" s="58">
        <v>1839.61</v>
      </c>
      <c r="D123" s="58">
        <v>0.6</v>
      </c>
      <c r="E123" s="70">
        <v>1.49</v>
      </c>
      <c r="F123" s="66">
        <v>3.73</v>
      </c>
      <c r="G123" s="66">
        <v>1.49</v>
      </c>
      <c r="H123" s="67">
        <v>7.75</v>
      </c>
      <c r="J123">
        <f t="shared" si="17"/>
        <v>2002</v>
      </c>
      <c r="K123">
        <v>3</v>
      </c>
      <c r="L123" s="107">
        <f t="shared" si="10"/>
        <v>37316</v>
      </c>
    </row>
    <row r="124" spans="1:12" x14ac:dyDescent="0.2">
      <c r="B124" s="57" t="s">
        <v>363</v>
      </c>
      <c r="C124" s="58">
        <v>1854.33</v>
      </c>
      <c r="D124" s="58">
        <v>0.8</v>
      </c>
      <c r="E124" s="70">
        <v>1.77</v>
      </c>
      <c r="F124" s="66">
        <v>3.7</v>
      </c>
      <c r="G124" s="66">
        <v>2.2999999999999998</v>
      </c>
      <c r="H124" s="67">
        <v>7.98</v>
      </c>
      <c r="J124">
        <f t="shared" si="17"/>
        <v>2002</v>
      </c>
      <c r="K124">
        <v>4</v>
      </c>
      <c r="L124" s="107">
        <f t="shared" si="10"/>
        <v>37347</v>
      </c>
    </row>
    <row r="125" spans="1:12" x14ac:dyDescent="0.2">
      <c r="B125" s="57" t="s">
        <v>364</v>
      </c>
      <c r="C125" s="58">
        <v>1858.22</v>
      </c>
      <c r="D125" s="58">
        <v>0.21</v>
      </c>
      <c r="E125" s="70">
        <v>1.62</v>
      </c>
      <c r="F125" s="66">
        <v>3.18</v>
      </c>
      <c r="G125" s="66">
        <v>2.5099999999999998</v>
      </c>
      <c r="H125" s="67">
        <v>7.77</v>
      </c>
      <c r="J125">
        <f t="shared" si="17"/>
        <v>2002</v>
      </c>
      <c r="K125">
        <v>5</v>
      </c>
      <c r="L125" s="107">
        <f t="shared" si="10"/>
        <v>37377</v>
      </c>
    </row>
    <row r="126" spans="1:12" x14ac:dyDescent="0.2">
      <c r="B126" s="57" t="s">
        <v>365</v>
      </c>
      <c r="C126" s="58">
        <v>1866.02</v>
      </c>
      <c r="D126" s="58">
        <v>0.42</v>
      </c>
      <c r="E126" s="70">
        <v>1.44</v>
      </c>
      <c r="F126" s="66">
        <v>2.94</v>
      </c>
      <c r="G126" s="66">
        <v>2.94</v>
      </c>
      <c r="H126" s="67">
        <v>7.66</v>
      </c>
      <c r="J126">
        <f t="shared" si="17"/>
        <v>2002</v>
      </c>
      <c r="K126">
        <v>6</v>
      </c>
      <c r="L126" s="107">
        <f t="shared" si="10"/>
        <v>37408</v>
      </c>
    </row>
    <row r="127" spans="1:12" x14ac:dyDescent="0.2">
      <c r="B127" s="57" t="s">
        <v>366</v>
      </c>
      <c r="C127" s="58">
        <v>1888.23</v>
      </c>
      <c r="D127" s="58">
        <v>1.19</v>
      </c>
      <c r="E127" s="70">
        <v>1.83</v>
      </c>
      <c r="F127" s="66">
        <v>3.63</v>
      </c>
      <c r="G127" s="58">
        <v>4.17</v>
      </c>
      <c r="H127" s="59">
        <v>7.51</v>
      </c>
      <c r="J127">
        <f t="shared" si="17"/>
        <v>2002</v>
      </c>
      <c r="K127">
        <v>7</v>
      </c>
      <c r="L127" s="107">
        <f t="shared" si="10"/>
        <v>37438</v>
      </c>
    </row>
    <row r="128" spans="1:12" x14ac:dyDescent="0.2">
      <c r="B128" s="57" t="s">
        <v>367</v>
      </c>
      <c r="C128" s="58">
        <v>1900.5</v>
      </c>
      <c r="D128" s="58">
        <v>0.65</v>
      </c>
      <c r="E128" s="70">
        <v>2.2799999999999998</v>
      </c>
      <c r="F128" s="66">
        <v>3.93</v>
      </c>
      <c r="G128" s="58">
        <v>4.8499999999999996</v>
      </c>
      <c r="H128" s="59">
        <v>7.46</v>
      </c>
      <c r="J128">
        <f t="shared" si="17"/>
        <v>2002</v>
      </c>
      <c r="K128">
        <v>8</v>
      </c>
      <c r="L128" s="107">
        <f t="shared" si="10"/>
        <v>37469</v>
      </c>
    </row>
    <row r="129" spans="1:12" x14ac:dyDescent="0.2">
      <c r="A129" s="60"/>
      <c r="B129" s="65" t="s">
        <v>368</v>
      </c>
      <c r="C129" s="66">
        <v>1914.18</v>
      </c>
      <c r="D129" s="66">
        <v>0.72</v>
      </c>
      <c r="E129" s="70">
        <v>2.58</v>
      </c>
      <c r="F129" s="66">
        <v>4.05</v>
      </c>
      <c r="G129" s="58">
        <v>5.6</v>
      </c>
      <c r="H129" s="59">
        <v>7.93</v>
      </c>
      <c r="J129">
        <f t="shared" si="17"/>
        <v>2002</v>
      </c>
      <c r="K129">
        <v>9</v>
      </c>
      <c r="L129" s="107">
        <f t="shared" si="10"/>
        <v>37500</v>
      </c>
    </row>
    <row r="130" spans="1:12" x14ac:dyDescent="0.2">
      <c r="A130" s="60"/>
      <c r="B130" s="65" t="s">
        <v>369</v>
      </c>
      <c r="C130" s="66">
        <v>1939.26</v>
      </c>
      <c r="D130" s="66">
        <v>1.31</v>
      </c>
      <c r="E130" s="70">
        <v>2.7</v>
      </c>
      <c r="F130" s="66">
        <v>4.58</v>
      </c>
      <c r="G130" s="58">
        <v>6.98</v>
      </c>
      <c r="H130" s="59">
        <v>8.4499999999999993</v>
      </c>
      <c r="J130">
        <f t="shared" si="17"/>
        <v>2002</v>
      </c>
      <c r="K130">
        <v>10</v>
      </c>
      <c r="L130" s="107">
        <f t="shared" si="10"/>
        <v>37530</v>
      </c>
    </row>
    <row r="131" spans="1:12" x14ac:dyDescent="0.2">
      <c r="B131" s="57" t="s">
        <v>370</v>
      </c>
      <c r="C131" s="58">
        <v>1997.83</v>
      </c>
      <c r="D131" s="70">
        <v>3.02</v>
      </c>
      <c r="E131" s="70">
        <v>5.12</v>
      </c>
      <c r="F131" s="66">
        <v>7.51</v>
      </c>
      <c r="G131" s="58">
        <v>10.220000000000001</v>
      </c>
      <c r="H131" s="59">
        <v>10.93</v>
      </c>
      <c r="J131">
        <f t="shared" si="17"/>
        <v>2002</v>
      </c>
      <c r="K131">
        <v>11</v>
      </c>
      <c r="L131" s="107">
        <f t="shared" si="10"/>
        <v>37561</v>
      </c>
    </row>
    <row r="132" spans="1:12" x14ac:dyDescent="0.2">
      <c r="A132" s="60"/>
      <c r="B132" s="65" t="s">
        <v>371</v>
      </c>
      <c r="C132" s="66">
        <v>2039.78</v>
      </c>
      <c r="D132" s="66">
        <v>2.1</v>
      </c>
      <c r="E132" s="70">
        <v>6.56</v>
      </c>
      <c r="F132" s="66">
        <v>9.31</v>
      </c>
      <c r="G132" s="58">
        <v>12.53</v>
      </c>
      <c r="H132" s="59">
        <v>12.53</v>
      </c>
      <c r="J132">
        <f t="shared" si="17"/>
        <v>2002</v>
      </c>
      <c r="K132">
        <v>12</v>
      </c>
      <c r="L132" s="107">
        <f t="shared" si="10"/>
        <v>37591</v>
      </c>
    </row>
    <row r="133" spans="1:12" x14ac:dyDescent="0.2">
      <c r="A133" s="52"/>
      <c r="B133" s="52"/>
      <c r="C133" s="61"/>
      <c r="D133" s="62"/>
      <c r="E133" s="63"/>
      <c r="F133" s="63"/>
      <c r="G133" s="63"/>
      <c r="H133" s="64"/>
      <c r="L133" s="107" t="e">
        <f t="shared" si="10"/>
        <v>#NUM!</v>
      </c>
    </row>
    <row r="134" spans="1:12" x14ac:dyDescent="0.2">
      <c r="A134" s="54">
        <v>2003</v>
      </c>
      <c r="B134" s="57" t="s">
        <v>360</v>
      </c>
      <c r="C134" s="58">
        <v>2085.6799999999998</v>
      </c>
      <c r="D134" s="70">
        <v>2.25</v>
      </c>
      <c r="E134" s="70">
        <v>7.55</v>
      </c>
      <c r="F134" s="66">
        <v>10.46</v>
      </c>
      <c r="G134" s="66">
        <v>2.25</v>
      </c>
      <c r="H134" s="59">
        <v>14.47</v>
      </c>
      <c r="J134">
        <f t="shared" ref="J134" si="18">A134</f>
        <v>2003</v>
      </c>
      <c r="K134">
        <v>1</v>
      </c>
      <c r="L134" s="107">
        <f t="shared" si="10"/>
        <v>37622</v>
      </c>
    </row>
    <row r="135" spans="1:12" x14ac:dyDescent="0.2">
      <c r="B135" s="57" t="s">
        <v>361</v>
      </c>
      <c r="C135" s="58">
        <v>2118.4299999999998</v>
      </c>
      <c r="D135" s="58">
        <v>1.57</v>
      </c>
      <c r="E135" s="70">
        <v>6.04</v>
      </c>
      <c r="F135" s="66">
        <v>11.47</v>
      </c>
      <c r="G135" s="66">
        <v>3.86</v>
      </c>
      <c r="H135" s="59">
        <v>15.85</v>
      </c>
      <c r="J135">
        <f t="shared" ref="J135:J145" si="19">J134</f>
        <v>2003</v>
      </c>
      <c r="K135">
        <v>2</v>
      </c>
      <c r="L135" s="107">
        <f t="shared" si="10"/>
        <v>37653</v>
      </c>
    </row>
    <row r="136" spans="1:12" x14ac:dyDescent="0.2">
      <c r="B136" s="57" t="s">
        <v>362</v>
      </c>
      <c r="C136" s="58">
        <v>2144.4899999999998</v>
      </c>
      <c r="D136" s="58">
        <v>1.23</v>
      </c>
      <c r="E136" s="70">
        <v>5.13</v>
      </c>
      <c r="F136" s="66">
        <v>12.03</v>
      </c>
      <c r="G136" s="66">
        <v>5.13</v>
      </c>
      <c r="H136" s="59">
        <v>16.57</v>
      </c>
      <c r="J136">
        <f t="shared" si="19"/>
        <v>2003</v>
      </c>
      <c r="K136">
        <v>3</v>
      </c>
      <c r="L136" s="107">
        <f t="shared" si="10"/>
        <v>37681</v>
      </c>
    </row>
    <row r="137" spans="1:12" x14ac:dyDescent="0.2">
      <c r="B137" s="57" t="s">
        <v>363</v>
      </c>
      <c r="C137" s="58">
        <v>2165.29</v>
      </c>
      <c r="D137" s="58">
        <v>0.97</v>
      </c>
      <c r="E137" s="70">
        <v>3.82</v>
      </c>
      <c r="F137" s="66">
        <v>11.66</v>
      </c>
      <c r="G137" s="66">
        <v>6.15</v>
      </c>
      <c r="H137" s="59">
        <v>16.77</v>
      </c>
      <c r="J137">
        <f t="shared" si="19"/>
        <v>2003</v>
      </c>
      <c r="K137">
        <v>4</v>
      </c>
      <c r="L137" s="107">
        <f t="shared" si="10"/>
        <v>37712</v>
      </c>
    </row>
    <row r="138" spans="1:12" x14ac:dyDescent="0.2">
      <c r="B138" s="57" t="s">
        <v>364</v>
      </c>
      <c r="C138" s="58">
        <v>2178.5</v>
      </c>
      <c r="D138" s="58">
        <v>0.61</v>
      </c>
      <c r="E138" s="70">
        <v>2.84</v>
      </c>
      <c r="F138" s="66">
        <v>9.0399999999999991</v>
      </c>
      <c r="G138" s="66">
        <v>6.8</v>
      </c>
      <c r="H138" s="59">
        <v>17.239999999999998</v>
      </c>
      <c r="J138">
        <f t="shared" si="19"/>
        <v>2003</v>
      </c>
      <c r="K138">
        <v>5</v>
      </c>
      <c r="L138" s="107">
        <f t="shared" ref="L138:L201" si="20">DATE(J138,K138,1)</f>
        <v>37742</v>
      </c>
    </row>
    <row r="139" spans="1:12" x14ac:dyDescent="0.2">
      <c r="B139" s="57" t="s">
        <v>365</v>
      </c>
      <c r="C139" s="58">
        <v>2175.23</v>
      </c>
      <c r="D139" s="58">
        <v>-0.15</v>
      </c>
      <c r="E139" s="70">
        <v>1.43</v>
      </c>
      <c r="F139" s="66">
        <v>6.64</v>
      </c>
      <c r="G139" s="66">
        <v>6.64</v>
      </c>
      <c r="H139" s="59">
        <v>16.57</v>
      </c>
      <c r="J139">
        <f t="shared" si="19"/>
        <v>2003</v>
      </c>
      <c r="K139">
        <v>6</v>
      </c>
      <c r="L139" s="107">
        <f t="shared" si="20"/>
        <v>37773</v>
      </c>
    </row>
    <row r="140" spans="1:12" x14ac:dyDescent="0.2">
      <c r="B140" s="57" t="s">
        <v>366</v>
      </c>
      <c r="C140" s="58">
        <v>2179.58</v>
      </c>
      <c r="D140" s="58">
        <v>0.2</v>
      </c>
      <c r="E140" s="70">
        <v>0.66</v>
      </c>
      <c r="F140" s="66">
        <v>4.5</v>
      </c>
      <c r="G140" s="66">
        <v>6.85</v>
      </c>
      <c r="H140" s="59">
        <v>15.43</v>
      </c>
      <c r="J140">
        <f t="shared" si="19"/>
        <v>2003</v>
      </c>
      <c r="K140">
        <v>7</v>
      </c>
      <c r="L140" s="107">
        <f t="shared" si="20"/>
        <v>37803</v>
      </c>
    </row>
    <row r="141" spans="1:12" x14ac:dyDescent="0.2">
      <c r="B141" s="57" t="s">
        <v>367</v>
      </c>
      <c r="C141" s="58">
        <v>2186.9899999999998</v>
      </c>
      <c r="D141" s="58">
        <v>0.34</v>
      </c>
      <c r="E141" s="70">
        <v>0.39</v>
      </c>
      <c r="F141" s="66">
        <v>3.24</v>
      </c>
      <c r="G141" s="66">
        <v>7.22</v>
      </c>
      <c r="H141" s="59">
        <v>15.07</v>
      </c>
      <c r="J141">
        <f t="shared" si="19"/>
        <v>2003</v>
      </c>
      <c r="K141">
        <v>8</v>
      </c>
      <c r="L141" s="107">
        <f t="shared" si="20"/>
        <v>37834</v>
      </c>
    </row>
    <row r="142" spans="1:12" x14ac:dyDescent="0.2">
      <c r="A142" s="60"/>
      <c r="B142" s="65" t="s">
        <v>368</v>
      </c>
      <c r="C142" s="66">
        <v>2204.0500000000002</v>
      </c>
      <c r="D142" s="66">
        <v>0.78</v>
      </c>
      <c r="E142" s="70">
        <v>1.32</v>
      </c>
      <c r="F142" s="66">
        <v>2.78</v>
      </c>
      <c r="G142" s="66">
        <v>8.0500000000000007</v>
      </c>
      <c r="H142" s="59">
        <v>15.14</v>
      </c>
      <c r="J142">
        <f t="shared" si="19"/>
        <v>2003</v>
      </c>
      <c r="K142">
        <v>9</v>
      </c>
      <c r="L142" s="107">
        <f t="shared" si="20"/>
        <v>37865</v>
      </c>
    </row>
    <row r="143" spans="1:12" x14ac:dyDescent="0.2">
      <c r="A143" s="60"/>
      <c r="B143" s="65" t="s">
        <v>369</v>
      </c>
      <c r="C143" s="66">
        <v>2210.44</v>
      </c>
      <c r="D143" s="66">
        <v>0.28999999999999998</v>
      </c>
      <c r="E143" s="70">
        <v>1.42</v>
      </c>
      <c r="F143" s="66">
        <v>2.09</v>
      </c>
      <c r="G143" s="66">
        <v>8.3699999999999992</v>
      </c>
      <c r="H143" s="59">
        <v>13.98</v>
      </c>
      <c r="J143">
        <f t="shared" si="19"/>
        <v>2003</v>
      </c>
      <c r="K143">
        <v>10</v>
      </c>
      <c r="L143" s="107">
        <f t="shared" si="20"/>
        <v>37895</v>
      </c>
    </row>
    <row r="144" spans="1:12" x14ac:dyDescent="0.2">
      <c r="B144" s="57" t="s">
        <v>370</v>
      </c>
      <c r="C144" s="58">
        <v>2217.96</v>
      </c>
      <c r="D144" s="70">
        <v>0.34</v>
      </c>
      <c r="E144" s="70">
        <v>1.42</v>
      </c>
      <c r="F144" s="66">
        <v>1.81</v>
      </c>
      <c r="G144" s="66">
        <v>8.74</v>
      </c>
      <c r="H144" s="59">
        <v>11.02</v>
      </c>
      <c r="J144">
        <f t="shared" si="19"/>
        <v>2003</v>
      </c>
      <c r="K144">
        <v>11</v>
      </c>
      <c r="L144" s="107">
        <f t="shared" si="20"/>
        <v>37926</v>
      </c>
    </row>
    <row r="145" spans="1:12" ht="15" thickBot="1" x14ac:dyDescent="0.25">
      <c r="A145" s="82"/>
      <c r="B145" s="83" t="s">
        <v>371</v>
      </c>
      <c r="C145" s="84">
        <v>2229.4899999999998</v>
      </c>
      <c r="D145" s="84">
        <v>0.52</v>
      </c>
      <c r="E145" s="84">
        <v>1.1499999999999999</v>
      </c>
      <c r="F145" s="73">
        <v>2.4900000000000002</v>
      </c>
      <c r="G145" s="73">
        <v>9.3000000000000007</v>
      </c>
      <c r="H145" s="74">
        <v>9.3000000000000007</v>
      </c>
      <c r="J145">
        <f t="shared" si="19"/>
        <v>2003</v>
      </c>
      <c r="K145">
        <v>12</v>
      </c>
      <c r="L145" s="107">
        <f t="shared" si="20"/>
        <v>37956</v>
      </c>
    </row>
    <row r="146" spans="1:12" ht="15" thickTop="1" x14ac:dyDescent="0.2">
      <c r="B146" s="75"/>
      <c r="C146" s="76"/>
      <c r="D146" s="76"/>
      <c r="E146" s="76"/>
      <c r="F146" s="76"/>
      <c r="G146" s="76"/>
      <c r="H146" s="67"/>
      <c r="L146" s="107" t="e">
        <f t="shared" si="20"/>
        <v>#NUM!</v>
      </c>
    </row>
    <row r="147" spans="1:12" ht="16" x14ac:dyDescent="0.2">
      <c r="A147" s="106" t="s">
        <v>241</v>
      </c>
      <c r="B147" s="106"/>
      <c r="C147" s="106"/>
      <c r="D147" s="106"/>
      <c r="E147" s="106"/>
      <c r="F147" s="106"/>
      <c r="G147" s="106"/>
      <c r="H147" s="106"/>
      <c r="L147" s="107" t="e">
        <f t="shared" si="20"/>
        <v>#NUM!</v>
      </c>
    </row>
    <row r="148" spans="1:12" ht="17" x14ac:dyDescent="0.25">
      <c r="A148" s="105" t="s">
        <v>350</v>
      </c>
      <c r="B148" s="105"/>
      <c r="C148" s="105"/>
      <c r="D148" s="105"/>
      <c r="E148" s="105"/>
      <c r="F148" s="105"/>
      <c r="G148" s="105"/>
      <c r="H148" s="105"/>
      <c r="L148" s="107" t="e">
        <f t="shared" si="20"/>
        <v>#NUM!</v>
      </c>
    </row>
    <row r="149" spans="1:12" ht="15" thickBot="1" x14ac:dyDescent="0.25">
      <c r="A149" s="33"/>
      <c r="B149" s="33"/>
      <c r="C149" s="34"/>
      <c r="D149" s="33"/>
      <c r="E149" s="33"/>
      <c r="F149" s="33"/>
      <c r="G149" s="33"/>
      <c r="H149" s="35" t="s">
        <v>372</v>
      </c>
      <c r="L149" s="107" t="e">
        <f t="shared" si="20"/>
        <v>#NUM!</v>
      </c>
    </row>
    <row r="150" spans="1:12" ht="15" thickTop="1" x14ac:dyDescent="0.2">
      <c r="A150" s="36"/>
      <c r="B150" s="36"/>
      <c r="C150" s="37"/>
      <c r="D150" s="38"/>
      <c r="E150" s="39"/>
      <c r="F150" s="39" t="s">
        <v>352</v>
      </c>
      <c r="G150" s="39"/>
      <c r="H150" s="40"/>
      <c r="L150" s="107" t="e">
        <f t="shared" si="20"/>
        <v>#NUM!</v>
      </c>
    </row>
    <row r="151" spans="1:12" x14ac:dyDescent="0.2">
      <c r="A151" s="41" t="s">
        <v>353</v>
      </c>
      <c r="B151" s="42" t="s">
        <v>354</v>
      </c>
      <c r="C151" s="43" t="s">
        <v>355</v>
      </c>
      <c r="D151" s="103" t="s">
        <v>356</v>
      </c>
      <c r="E151" s="104"/>
      <c r="F151" s="104"/>
      <c r="G151" s="104"/>
      <c r="H151" s="104"/>
      <c r="L151" s="107" t="e">
        <f t="shared" si="20"/>
        <v>#NUM!</v>
      </c>
    </row>
    <row r="152" spans="1:12" x14ac:dyDescent="0.2">
      <c r="A152" s="41"/>
      <c r="B152" s="42"/>
      <c r="C152" s="44" t="s">
        <v>357</v>
      </c>
      <c r="D152" s="45" t="s">
        <v>358</v>
      </c>
      <c r="E152" s="45">
        <v>3</v>
      </c>
      <c r="F152" s="45">
        <v>6</v>
      </c>
      <c r="G152" s="45" t="s">
        <v>358</v>
      </c>
      <c r="H152" s="46">
        <v>12</v>
      </c>
      <c r="L152" s="107" t="e">
        <f t="shared" si="20"/>
        <v>#NUM!</v>
      </c>
    </row>
    <row r="153" spans="1:12" ht="15" thickBot="1" x14ac:dyDescent="0.25">
      <c r="A153" s="47"/>
      <c r="B153" s="47"/>
      <c r="C153" s="48"/>
      <c r="D153" s="49" t="s">
        <v>354</v>
      </c>
      <c r="E153" s="50" t="s">
        <v>359</v>
      </c>
      <c r="F153" s="50" t="s">
        <v>359</v>
      </c>
      <c r="G153" s="50" t="s">
        <v>353</v>
      </c>
      <c r="H153" s="51" t="s">
        <v>359</v>
      </c>
      <c r="L153" s="107" t="e">
        <f t="shared" si="20"/>
        <v>#NUM!</v>
      </c>
    </row>
    <row r="154" spans="1:12" x14ac:dyDescent="0.2">
      <c r="A154" s="52"/>
      <c r="B154" s="52"/>
      <c r="C154" s="53"/>
      <c r="D154" s="54"/>
      <c r="E154" s="55"/>
      <c r="F154" s="55"/>
      <c r="G154" s="55"/>
      <c r="H154" s="56"/>
      <c r="L154" s="107" t="e">
        <f t="shared" si="20"/>
        <v>#NUM!</v>
      </c>
    </row>
    <row r="155" spans="1:12" x14ac:dyDescent="0.2">
      <c r="A155" s="54">
        <v>2004</v>
      </c>
      <c r="B155" s="77" t="s">
        <v>360</v>
      </c>
      <c r="C155" s="66">
        <v>2246.4299999999998</v>
      </c>
      <c r="D155" s="66">
        <v>0.76</v>
      </c>
      <c r="E155" s="70">
        <v>1.63</v>
      </c>
      <c r="F155" s="66">
        <v>3.07</v>
      </c>
      <c r="G155" s="66">
        <v>0.76</v>
      </c>
      <c r="H155" s="59">
        <v>7.71</v>
      </c>
      <c r="J155">
        <f>A155</f>
        <v>2004</v>
      </c>
      <c r="K155">
        <v>1</v>
      </c>
      <c r="L155" s="107">
        <f t="shared" si="20"/>
        <v>37987</v>
      </c>
    </row>
    <row r="156" spans="1:12" x14ac:dyDescent="0.2">
      <c r="A156" s="85"/>
      <c r="B156" s="77" t="s">
        <v>361</v>
      </c>
      <c r="C156" s="66">
        <v>2260.13</v>
      </c>
      <c r="D156" s="66">
        <v>0.61</v>
      </c>
      <c r="E156" s="70">
        <v>1.9</v>
      </c>
      <c r="F156" s="66">
        <v>3.34</v>
      </c>
      <c r="G156" s="66">
        <v>1.37</v>
      </c>
      <c r="H156" s="59">
        <v>6.69</v>
      </c>
      <c r="J156">
        <f>J155</f>
        <v>2004</v>
      </c>
      <c r="K156">
        <v>2</v>
      </c>
      <c r="L156" s="107">
        <f t="shared" si="20"/>
        <v>38018</v>
      </c>
    </row>
    <row r="157" spans="1:12" x14ac:dyDescent="0.2">
      <c r="A157" s="86"/>
      <c r="B157" s="77" t="s">
        <v>362</v>
      </c>
      <c r="C157" s="66">
        <v>2270.75</v>
      </c>
      <c r="D157" s="66">
        <v>0.47</v>
      </c>
      <c r="E157" s="70">
        <v>1.85</v>
      </c>
      <c r="F157" s="66">
        <v>3.03</v>
      </c>
      <c r="G157" s="66">
        <v>1.85</v>
      </c>
      <c r="H157" s="59">
        <v>5.89</v>
      </c>
      <c r="J157">
        <f t="shared" ref="J157:J166" si="21">J156</f>
        <v>2004</v>
      </c>
      <c r="K157">
        <v>3</v>
      </c>
      <c r="L157" s="107">
        <f t="shared" si="20"/>
        <v>38047</v>
      </c>
    </row>
    <row r="158" spans="1:12" x14ac:dyDescent="0.2">
      <c r="A158" s="87"/>
      <c r="B158" s="77" t="s">
        <v>363</v>
      </c>
      <c r="C158" s="66">
        <v>2279.15</v>
      </c>
      <c r="D158" s="66">
        <v>0.37</v>
      </c>
      <c r="E158" s="70">
        <v>1.46</v>
      </c>
      <c r="F158" s="66">
        <v>3.11</v>
      </c>
      <c r="G158" s="66">
        <v>2.23</v>
      </c>
      <c r="H158" s="67">
        <v>5.26</v>
      </c>
      <c r="J158">
        <f t="shared" si="21"/>
        <v>2004</v>
      </c>
      <c r="K158">
        <v>4</v>
      </c>
      <c r="L158" s="107">
        <f t="shared" si="20"/>
        <v>38078</v>
      </c>
    </row>
    <row r="159" spans="1:12" x14ac:dyDescent="0.2">
      <c r="A159" s="87"/>
      <c r="B159" s="65" t="s">
        <v>364</v>
      </c>
      <c r="C159" s="66">
        <v>2290.77</v>
      </c>
      <c r="D159" s="66">
        <v>0.51</v>
      </c>
      <c r="E159" s="70">
        <v>1.36</v>
      </c>
      <c r="F159" s="66">
        <v>3.28</v>
      </c>
      <c r="G159" s="66">
        <v>2.75</v>
      </c>
      <c r="H159" s="67">
        <v>5.15</v>
      </c>
      <c r="J159">
        <f t="shared" si="21"/>
        <v>2004</v>
      </c>
      <c r="K159">
        <v>5</v>
      </c>
      <c r="L159" s="107">
        <f t="shared" si="20"/>
        <v>38108</v>
      </c>
    </row>
    <row r="160" spans="1:12" x14ac:dyDescent="0.2">
      <c r="A160" s="87"/>
      <c r="B160" s="65" t="s">
        <v>365</v>
      </c>
      <c r="C160" s="66">
        <v>2307.0300000000002</v>
      </c>
      <c r="D160" s="66">
        <v>0.71</v>
      </c>
      <c r="E160" s="70">
        <v>1.6</v>
      </c>
      <c r="F160" s="66">
        <v>3.48</v>
      </c>
      <c r="G160" s="66">
        <v>3.48</v>
      </c>
      <c r="H160" s="67">
        <v>6.06</v>
      </c>
      <c r="J160">
        <f t="shared" si="21"/>
        <v>2004</v>
      </c>
      <c r="K160">
        <v>6</v>
      </c>
      <c r="L160" s="107">
        <f t="shared" si="20"/>
        <v>38139</v>
      </c>
    </row>
    <row r="161" spans="1:12" x14ac:dyDescent="0.2">
      <c r="A161" s="87"/>
      <c r="B161" s="65" t="s">
        <v>366</v>
      </c>
      <c r="C161" s="66">
        <v>2328.02</v>
      </c>
      <c r="D161" s="66">
        <v>0.91</v>
      </c>
      <c r="E161" s="70">
        <v>2.14</v>
      </c>
      <c r="F161" s="66">
        <v>3.63</v>
      </c>
      <c r="G161" s="66">
        <v>4.42</v>
      </c>
      <c r="H161" s="67">
        <v>6.81</v>
      </c>
      <c r="J161">
        <f t="shared" si="21"/>
        <v>2004</v>
      </c>
      <c r="K161">
        <v>7</v>
      </c>
      <c r="L161" s="107">
        <f t="shared" si="20"/>
        <v>38169</v>
      </c>
    </row>
    <row r="162" spans="1:12" x14ac:dyDescent="0.2">
      <c r="A162" s="87"/>
      <c r="B162" s="65" t="s">
        <v>367</v>
      </c>
      <c r="C162" s="66">
        <v>2344.08</v>
      </c>
      <c r="D162" s="66">
        <v>0.69</v>
      </c>
      <c r="E162" s="70">
        <v>2.33</v>
      </c>
      <c r="F162" s="66">
        <v>3.71</v>
      </c>
      <c r="G162" s="66">
        <v>5.14</v>
      </c>
      <c r="H162" s="67">
        <v>7.18</v>
      </c>
      <c r="J162">
        <f t="shared" si="21"/>
        <v>2004</v>
      </c>
      <c r="K162">
        <v>8</v>
      </c>
      <c r="L162" s="107">
        <f t="shared" si="20"/>
        <v>38200</v>
      </c>
    </row>
    <row r="163" spans="1:12" x14ac:dyDescent="0.2">
      <c r="A163" s="87"/>
      <c r="B163" s="65" t="s">
        <v>368</v>
      </c>
      <c r="C163" s="66">
        <v>2351.8200000000002</v>
      </c>
      <c r="D163" s="66">
        <v>0.33</v>
      </c>
      <c r="E163" s="70">
        <v>1.94</v>
      </c>
      <c r="F163" s="66">
        <v>3.57</v>
      </c>
      <c r="G163" s="66">
        <v>5.49</v>
      </c>
      <c r="H163" s="67">
        <v>6.7</v>
      </c>
      <c r="J163">
        <f t="shared" si="21"/>
        <v>2004</v>
      </c>
      <c r="K163">
        <v>9</v>
      </c>
      <c r="L163" s="107">
        <f t="shared" si="20"/>
        <v>38231</v>
      </c>
    </row>
    <row r="164" spans="1:12" x14ac:dyDescent="0.2">
      <c r="A164" s="87"/>
      <c r="B164" s="65" t="s">
        <v>369</v>
      </c>
      <c r="C164" s="66">
        <v>2362.17</v>
      </c>
      <c r="D164" s="66">
        <v>0.44</v>
      </c>
      <c r="E164" s="70">
        <v>1.47</v>
      </c>
      <c r="F164" s="66">
        <v>3.64</v>
      </c>
      <c r="G164" s="66">
        <v>5.95</v>
      </c>
      <c r="H164" s="67">
        <v>6.86</v>
      </c>
      <c r="J164">
        <f t="shared" si="21"/>
        <v>2004</v>
      </c>
      <c r="K164">
        <v>10</v>
      </c>
      <c r="L164" s="107">
        <f t="shared" si="20"/>
        <v>38261</v>
      </c>
    </row>
    <row r="165" spans="1:12" x14ac:dyDescent="0.2">
      <c r="A165" s="87"/>
      <c r="B165" s="65" t="s">
        <v>370</v>
      </c>
      <c r="C165" s="66">
        <v>2378.4699999999998</v>
      </c>
      <c r="D165" s="66">
        <v>0.69</v>
      </c>
      <c r="E165" s="70">
        <v>1.47</v>
      </c>
      <c r="F165" s="66">
        <v>3.83</v>
      </c>
      <c r="G165" s="66">
        <v>6.68</v>
      </c>
      <c r="H165" s="67">
        <v>7.24</v>
      </c>
      <c r="J165">
        <f t="shared" si="21"/>
        <v>2004</v>
      </c>
      <c r="K165">
        <v>11</v>
      </c>
      <c r="L165" s="107">
        <f t="shared" si="20"/>
        <v>38292</v>
      </c>
    </row>
    <row r="166" spans="1:12" x14ac:dyDescent="0.2">
      <c r="A166" s="87"/>
      <c r="B166" s="65" t="s">
        <v>371</v>
      </c>
      <c r="C166" s="66">
        <v>2398.92</v>
      </c>
      <c r="D166" s="66">
        <v>0.86</v>
      </c>
      <c r="E166" s="70">
        <v>2</v>
      </c>
      <c r="F166" s="66">
        <v>3.98</v>
      </c>
      <c r="G166" s="66">
        <v>7.6</v>
      </c>
      <c r="H166" s="67">
        <v>7.6</v>
      </c>
      <c r="J166">
        <f t="shared" si="21"/>
        <v>2004</v>
      </c>
      <c r="K166">
        <v>12</v>
      </c>
      <c r="L166" s="107">
        <f t="shared" si="20"/>
        <v>38322</v>
      </c>
    </row>
    <row r="167" spans="1:12" x14ac:dyDescent="0.2">
      <c r="A167" s="52"/>
      <c r="B167" s="52"/>
      <c r="C167" s="61"/>
      <c r="D167" s="62"/>
      <c r="E167" s="63"/>
      <c r="F167" s="63"/>
      <c r="G167" s="63"/>
      <c r="H167" s="64"/>
      <c r="L167" s="107" t="e">
        <f t="shared" si="20"/>
        <v>#NUM!</v>
      </c>
    </row>
    <row r="168" spans="1:12" x14ac:dyDescent="0.2">
      <c r="A168" s="54">
        <v>2005</v>
      </c>
      <c r="B168" s="77" t="s">
        <v>360</v>
      </c>
      <c r="C168" s="66">
        <v>2412.83</v>
      </c>
      <c r="D168" s="66">
        <v>0.57999999999999996</v>
      </c>
      <c r="E168" s="70">
        <v>2.14</v>
      </c>
      <c r="F168" s="66">
        <v>3.64</v>
      </c>
      <c r="G168" s="66">
        <v>0.57999999999999996</v>
      </c>
      <c r="H168" s="59">
        <v>7.41</v>
      </c>
      <c r="J168">
        <f t="shared" ref="J168" si="22">A168</f>
        <v>2005</v>
      </c>
      <c r="K168">
        <v>1</v>
      </c>
      <c r="L168" s="107">
        <f t="shared" si="20"/>
        <v>38353</v>
      </c>
    </row>
    <row r="169" spans="1:12" x14ac:dyDescent="0.2">
      <c r="A169" s="85"/>
      <c r="B169" s="77" t="s">
        <v>361</v>
      </c>
      <c r="C169" s="66">
        <v>2427.0700000000002</v>
      </c>
      <c r="D169" s="66">
        <v>0.59</v>
      </c>
      <c r="E169" s="70">
        <v>2.04</v>
      </c>
      <c r="F169" s="66">
        <v>3.54</v>
      </c>
      <c r="G169" s="66">
        <v>1.17</v>
      </c>
      <c r="H169" s="59">
        <v>7.39</v>
      </c>
      <c r="J169">
        <f t="shared" ref="J169:J179" si="23">J168</f>
        <v>2005</v>
      </c>
      <c r="K169">
        <v>2</v>
      </c>
      <c r="L169" s="107">
        <f t="shared" si="20"/>
        <v>38384</v>
      </c>
    </row>
    <row r="170" spans="1:12" x14ac:dyDescent="0.2">
      <c r="A170" s="85"/>
      <c r="B170" s="77" t="s">
        <v>362</v>
      </c>
      <c r="C170" s="66">
        <v>2441.87</v>
      </c>
      <c r="D170" s="66">
        <v>0.61</v>
      </c>
      <c r="E170" s="70">
        <v>1.79</v>
      </c>
      <c r="F170" s="66">
        <v>3.83</v>
      </c>
      <c r="G170" s="66">
        <v>1.79</v>
      </c>
      <c r="H170" s="59">
        <v>7.54</v>
      </c>
      <c r="J170">
        <f t="shared" si="23"/>
        <v>2005</v>
      </c>
      <c r="K170">
        <v>3</v>
      </c>
      <c r="L170" s="107">
        <f t="shared" si="20"/>
        <v>38412</v>
      </c>
    </row>
    <row r="171" spans="1:12" x14ac:dyDescent="0.2">
      <c r="A171" s="87"/>
      <c r="B171" s="77" t="s">
        <v>363</v>
      </c>
      <c r="C171" s="66">
        <v>2463.11</v>
      </c>
      <c r="D171" s="66">
        <v>0.87</v>
      </c>
      <c r="E171" s="70">
        <v>2.08</v>
      </c>
      <c r="F171" s="66">
        <v>4.2699999999999996</v>
      </c>
      <c r="G171" s="66">
        <v>2.68</v>
      </c>
      <c r="H171" s="67">
        <v>8.07</v>
      </c>
      <c r="J171">
        <f t="shared" si="23"/>
        <v>2005</v>
      </c>
      <c r="K171">
        <v>4</v>
      </c>
      <c r="L171" s="107">
        <f t="shared" si="20"/>
        <v>38443</v>
      </c>
    </row>
    <row r="172" spans="1:12" x14ac:dyDescent="0.2">
      <c r="A172" s="87"/>
      <c r="B172" s="77" t="s">
        <v>364</v>
      </c>
      <c r="C172" s="66">
        <v>2475.1799999999998</v>
      </c>
      <c r="D172" s="66">
        <v>0.49</v>
      </c>
      <c r="E172" s="70">
        <v>1.98</v>
      </c>
      <c r="F172" s="66">
        <v>4.07</v>
      </c>
      <c r="G172" s="66">
        <v>3.18</v>
      </c>
      <c r="H172" s="67">
        <v>8.0500000000000007</v>
      </c>
      <c r="J172">
        <f t="shared" si="23"/>
        <v>2005</v>
      </c>
      <c r="K172">
        <v>5</v>
      </c>
      <c r="L172" s="107">
        <f t="shared" si="20"/>
        <v>38473</v>
      </c>
    </row>
    <row r="173" spans="1:12" x14ac:dyDescent="0.2">
      <c r="A173" s="87"/>
      <c r="B173" s="77" t="s">
        <v>365</v>
      </c>
      <c r="C173" s="66">
        <v>2474.6799999999998</v>
      </c>
      <c r="D173" s="66">
        <v>-0.02</v>
      </c>
      <c r="E173" s="70">
        <v>1.34</v>
      </c>
      <c r="F173" s="66">
        <v>3.16</v>
      </c>
      <c r="G173" s="66">
        <v>3.16</v>
      </c>
      <c r="H173" s="67">
        <v>7.27</v>
      </c>
      <c r="J173">
        <f t="shared" si="23"/>
        <v>2005</v>
      </c>
      <c r="K173">
        <v>6</v>
      </c>
      <c r="L173" s="107">
        <f t="shared" si="20"/>
        <v>38504</v>
      </c>
    </row>
    <row r="174" spans="1:12" x14ac:dyDescent="0.2">
      <c r="A174" s="87"/>
      <c r="B174" s="77" t="s">
        <v>366</v>
      </c>
      <c r="C174" s="66">
        <v>2480.87</v>
      </c>
      <c r="D174" s="66">
        <v>0.25</v>
      </c>
      <c r="E174" s="70">
        <v>0.72</v>
      </c>
      <c r="F174" s="66">
        <v>2.82</v>
      </c>
      <c r="G174" s="66">
        <v>3.42</v>
      </c>
      <c r="H174" s="67">
        <v>6.57</v>
      </c>
      <c r="J174">
        <f t="shared" si="23"/>
        <v>2005</v>
      </c>
      <c r="K174">
        <v>7</v>
      </c>
      <c r="L174" s="107">
        <f t="shared" si="20"/>
        <v>38534</v>
      </c>
    </row>
    <row r="175" spans="1:12" x14ac:dyDescent="0.2">
      <c r="A175" s="87"/>
      <c r="B175" s="77" t="s">
        <v>367</v>
      </c>
      <c r="C175" s="66">
        <v>2485.09</v>
      </c>
      <c r="D175" s="66">
        <v>0.17</v>
      </c>
      <c r="E175" s="70">
        <v>0.4</v>
      </c>
      <c r="F175" s="66">
        <v>2.39</v>
      </c>
      <c r="G175" s="66">
        <v>3.59</v>
      </c>
      <c r="H175" s="67">
        <v>6.02</v>
      </c>
      <c r="J175">
        <f t="shared" si="23"/>
        <v>2005</v>
      </c>
      <c r="K175">
        <v>8</v>
      </c>
      <c r="L175" s="107">
        <f t="shared" si="20"/>
        <v>38565</v>
      </c>
    </row>
    <row r="176" spans="1:12" x14ac:dyDescent="0.2">
      <c r="A176" s="87"/>
      <c r="B176" s="77" t="s">
        <v>368</v>
      </c>
      <c r="C176" s="66">
        <v>2493.79</v>
      </c>
      <c r="D176" s="66">
        <v>0.35</v>
      </c>
      <c r="E176" s="70">
        <v>0.77</v>
      </c>
      <c r="F176" s="66">
        <v>2.13</v>
      </c>
      <c r="G176" s="66">
        <v>3.95</v>
      </c>
      <c r="H176" s="67">
        <v>6.04</v>
      </c>
      <c r="J176">
        <f t="shared" si="23"/>
        <v>2005</v>
      </c>
      <c r="K176">
        <v>9</v>
      </c>
      <c r="L176" s="107">
        <f t="shared" si="20"/>
        <v>38596</v>
      </c>
    </row>
    <row r="177" spans="1:12" x14ac:dyDescent="0.2">
      <c r="A177" s="87"/>
      <c r="B177" s="77" t="s">
        <v>369</v>
      </c>
      <c r="C177" s="66">
        <v>2512.4899999999998</v>
      </c>
      <c r="D177" s="66">
        <v>0.75</v>
      </c>
      <c r="E177" s="70">
        <v>1.27</v>
      </c>
      <c r="F177" s="66">
        <v>2</v>
      </c>
      <c r="G177" s="66">
        <v>4.7300000000000004</v>
      </c>
      <c r="H177" s="67">
        <v>6.36</v>
      </c>
      <c r="J177">
        <f t="shared" si="23"/>
        <v>2005</v>
      </c>
      <c r="K177">
        <v>10</v>
      </c>
      <c r="L177" s="107">
        <f t="shared" si="20"/>
        <v>38626</v>
      </c>
    </row>
    <row r="178" spans="1:12" x14ac:dyDescent="0.2">
      <c r="A178" s="87"/>
      <c r="B178" s="77" t="s">
        <v>370</v>
      </c>
      <c r="C178" s="66">
        <v>2526.31</v>
      </c>
      <c r="D178" s="66">
        <v>0.55000000000000004</v>
      </c>
      <c r="E178" s="70">
        <v>1.66</v>
      </c>
      <c r="F178" s="66">
        <v>2.0699999999999998</v>
      </c>
      <c r="G178" s="66">
        <v>5.31</v>
      </c>
      <c r="H178" s="67">
        <v>6.22</v>
      </c>
      <c r="J178">
        <f t="shared" si="23"/>
        <v>2005</v>
      </c>
      <c r="K178">
        <v>11</v>
      </c>
      <c r="L178" s="107">
        <f t="shared" si="20"/>
        <v>38657</v>
      </c>
    </row>
    <row r="179" spans="1:12" x14ac:dyDescent="0.2">
      <c r="A179" s="87"/>
      <c r="B179" s="77" t="s">
        <v>371</v>
      </c>
      <c r="C179" s="66">
        <v>2535.4</v>
      </c>
      <c r="D179" s="66">
        <v>0.36</v>
      </c>
      <c r="E179" s="70">
        <v>1.67</v>
      </c>
      <c r="F179" s="66">
        <v>2.4500000000000002</v>
      </c>
      <c r="G179" s="66">
        <v>5.69</v>
      </c>
      <c r="H179" s="67">
        <v>5.69</v>
      </c>
      <c r="J179">
        <f t="shared" si="23"/>
        <v>2005</v>
      </c>
      <c r="K179">
        <v>12</v>
      </c>
      <c r="L179" s="107">
        <f t="shared" si="20"/>
        <v>38687</v>
      </c>
    </row>
    <row r="180" spans="1:12" x14ac:dyDescent="0.2">
      <c r="A180" s="52"/>
      <c r="B180" s="52"/>
      <c r="C180" s="61"/>
      <c r="D180" s="62"/>
      <c r="E180" s="63"/>
      <c r="F180" s="63"/>
      <c r="G180" s="63"/>
      <c r="H180" s="64"/>
      <c r="L180" s="107" t="e">
        <f t="shared" si="20"/>
        <v>#NUM!</v>
      </c>
    </row>
    <row r="181" spans="1:12" x14ac:dyDescent="0.2">
      <c r="A181" s="54">
        <v>2006</v>
      </c>
      <c r="B181" s="77" t="s">
        <v>360</v>
      </c>
      <c r="C181" s="66">
        <v>2550.36</v>
      </c>
      <c r="D181" s="66">
        <v>0.59</v>
      </c>
      <c r="E181" s="70">
        <v>1.51</v>
      </c>
      <c r="F181" s="66">
        <v>2.8</v>
      </c>
      <c r="G181" s="66">
        <v>0.59</v>
      </c>
      <c r="H181" s="59">
        <v>5.7</v>
      </c>
      <c r="J181">
        <f t="shared" ref="J181" si="24">A181</f>
        <v>2006</v>
      </c>
      <c r="K181">
        <v>1</v>
      </c>
      <c r="L181" s="107">
        <f t="shared" si="20"/>
        <v>38718</v>
      </c>
    </row>
    <row r="182" spans="1:12" x14ac:dyDescent="0.2">
      <c r="A182" s="85"/>
      <c r="B182" s="77" t="s">
        <v>361</v>
      </c>
      <c r="C182" s="66">
        <v>2560.8200000000002</v>
      </c>
      <c r="D182" s="66">
        <v>0.41</v>
      </c>
      <c r="E182" s="70">
        <v>1.37</v>
      </c>
      <c r="F182" s="66">
        <v>3.05</v>
      </c>
      <c r="G182" s="66">
        <v>1</v>
      </c>
      <c r="H182" s="59">
        <v>5.51</v>
      </c>
      <c r="J182">
        <f t="shared" ref="J182:J192" si="25">J181</f>
        <v>2006</v>
      </c>
      <c r="K182">
        <v>2</v>
      </c>
      <c r="L182" s="107">
        <f t="shared" si="20"/>
        <v>38749</v>
      </c>
    </row>
    <row r="183" spans="1:12" x14ac:dyDescent="0.2">
      <c r="A183" s="85"/>
      <c r="B183" s="77" t="s">
        <v>362</v>
      </c>
      <c r="C183" s="66">
        <v>2571.83</v>
      </c>
      <c r="D183" s="66">
        <v>0.43</v>
      </c>
      <c r="E183" s="70">
        <v>1.44</v>
      </c>
      <c r="F183" s="66">
        <v>3.13</v>
      </c>
      <c r="G183" s="66">
        <v>1.44</v>
      </c>
      <c r="H183" s="59">
        <v>5.32</v>
      </c>
      <c r="J183">
        <f t="shared" si="25"/>
        <v>2006</v>
      </c>
      <c r="K183">
        <v>3</v>
      </c>
      <c r="L183" s="107">
        <f t="shared" si="20"/>
        <v>38777</v>
      </c>
    </row>
    <row r="184" spans="1:12" x14ac:dyDescent="0.2">
      <c r="A184" s="87"/>
      <c r="B184" s="77" t="s">
        <v>363</v>
      </c>
      <c r="C184" s="66">
        <v>2577.23</v>
      </c>
      <c r="D184" s="66">
        <v>0.21</v>
      </c>
      <c r="E184" s="70">
        <v>1.05</v>
      </c>
      <c r="F184" s="66">
        <v>2.58</v>
      </c>
      <c r="G184" s="66">
        <v>1.65</v>
      </c>
      <c r="H184" s="59">
        <v>4.63</v>
      </c>
      <c r="J184">
        <f t="shared" si="25"/>
        <v>2006</v>
      </c>
      <c r="K184">
        <v>4</v>
      </c>
      <c r="L184" s="107">
        <f t="shared" si="20"/>
        <v>38808</v>
      </c>
    </row>
    <row r="185" spans="1:12" x14ac:dyDescent="0.2">
      <c r="A185" s="87"/>
      <c r="B185" s="77" t="s">
        <v>364</v>
      </c>
      <c r="C185" s="66">
        <v>2579.81</v>
      </c>
      <c r="D185" s="66">
        <v>0.1</v>
      </c>
      <c r="E185" s="70">
        <v>0.74</v>
      </c>
      <c r="F185" s="66">
        <v>2.12</v>
      </c>
      <c r="G185" s="66">
        <v>1.75</v>
      </c>
      <c r="H185" s="67">
        <v>4.2300000000000004</v>
      </c>
      <c r="J185">
        <f t="shared" si="25"/>
        <v>2006</v>
      </c>
      <c r="K185">
        <v>5</v>
      </c>
      <c r="L185" s="107">
        <f t="shared" si="20"/>
        <v>38838</v>
      </c>
    </row>
    <row r="186" spans="1:12" x14ac:dyDescent="0.2">
      <c r="A186" s="87"/>
      <c r="B186" s="77" t="s">
        <v>365</v>
      </c>
      <c r="C186" s="66">
        <v>2574.39</v>
      </c>
      <c r="D186" s="66">
        <v>-0.21</v>
      </c>
      <c r="E186" s="70">
        <v>0.1</v>
      </c>
      <c r="F186" s="66">
        <v>1.54</v>
      </c>
      <c r="G186" s="66">
        <v>1.54</v>
      </c>
      <c r="H186" s="67">
        <v>4.03</v>
      </c>
      <c r="J186">
        <f t="shared" si="25"/>
        <v>2006</v>
      </c>
      <c r="K186">
        <v>6</v>
      </c>
      <c r="L186" s="107">
        <f t="shared" si="20"/>
        <v>38869</v>
      </c>
    </row>
    <row r="187" spans="1:12" x14ac:dyDescent="0.2">
      <c r="A187" s="87"/>
      <c r="B187" s="77" t="s">
        <v>366</v>
      </c>
      <c r="C187" s="66">
        <v>2579.2800000000002</v>
      </c>
      <c r="D187" s="66">
        <v>0.19</v>
      </c>
      <c r="E187" s="70">
        <v>0.08</v>
      </c>
      <c r="F187" s="66">
        <v>1.1299999999999999</v>
      </c>
      <c r="G187" s="66">
        <v>1.73</v>
      </c>
      <c r="H187" s="67">
        <v>3.97</v>
      </c>
      <c r="J187">
        <f t="shared" si="25"/>
        <v>2006</v>
      </c>
      <c r="K187">
        <v>7</v>
      </c>
      <c r="L187" s="107">
        <f t="shared" si="20"/>
        <v>38899</v>
      </c>
    </row>
    <row r="188" spans="1:12" x14ac:dyDescent="0.2">
      <c r="A188" s="87"/>
      <c r="B188" s="77" t="s">
        <v>367</v>
      </c>
      <c r="C188" s="66">
        <v>2580.5700000000002</v>
      </c>
      <c r="D188" s="66">
        <v>0.05</v>
      </c>
      <c r="E188" s="70">
        <v>0.03</v>
      </c>
      <c r="F188" s="66">
        <v>0.77</v>
      </c>
      <c r="G188" s="66">
        <v>1.78</v>
      </c>
      <c r="H188" s="67">
        <v>3.84</v>
      </c>
      <c r="J188">
        <f t="shared" si="25"/>
        <v>2006</v>
      </c>
      <c r="K188">
        <v>8</v>
      </c>
      <c r="L188" s="107">
        <f t="shared" si="20"/>
        <v>38930</v>
      </c>
    </row>
    <row r="189" spans="1:12" x14ac:dyDescent="0.2">
      <c r="A189" s="87"/>
      <c r="B189" s="77" t="s">
        <v>368</v>
      </c>
      <c r="C189" s="66">
        <v>2585.9899999999998</v>
      </c>
      <c r="D189" s="66">
        <v>0.21</v>
      </c>
      <c r="E189" s="70">
        <v>0.45</v>
      </c>
      <c r="F189" s="66">
        <v>0.55000000000000004</v>
      </c>
      <c r="G189" s="66">
        <v>2</v>
      </c>
      <c r="H189" s="67">
        <v>3.7</v>
      </c>
      <c r="J189">
        <f t="shared" si="25"/>
        <v>2006</v>
      </c>
      <c r="K189">
        <v>9</v>
      </c>
      <c r="L189" s="107">
        <f t="shared" si="20"/>
        <v>38961</v>
      </c>
    </row>
    <row r="190" spans="1:12" x14ac:dyDescent="0.2">
      <c r="A190" s="87"/>
      <c r="B190" s="77" t="s">
        <v>369</v>
      </c>
      <c r="C190" s="66">
        <v>2594.52</v>
      </c>
      <c r="D190" s="66">
        <v>0.33</v>
      </c>
      <c r="E190" s="70">
        <v>0.59</v>
      </c>
      <c r="F190" s="66">
        <v>0.67</v>
      </c>
      <c r="G190" s="66">
        <v>2.33</v>
      </c>
      <c r="H190" s="67">
        <v>3.26</v>
      </c>
      <c r="J190">
        <f t="shared" si="25"/>
        <v>2006</v>
      </c>
      <c r="K190">
        <v>10</v>
      </c>
      <c r="L190" s="107">
        <f t="shared" si="20"/>
        <v>38991</v>
      </c>
    </row>
    <row r="191" spans="1:12" x14ac:dyDescent="0.2">
      <c r="A191" s="87"/>
      <c r="B191" s="77" t="s">
        <v>370</v>
      </c>
      <c r="C191" s="66">
        <v>2602.56</v>
      </c>
      <c r="D191" s="66">
        <v>0.31</v>
      </c>
      <c r="E191" s="70">
        <v>0.85</v>
      </c>
      <c r="F191" s="66">
        <v>0.88</v>
      </c>
      <c r="G191" s="66">
        <v>2.65</v>
      </c>
      <c r="H191" s="67">
        <v>3.02</v>
      </c>
      <c r="J191">
        <f t="shared" si="25"/>
        <v>2006</v>
      </c>
      <c r="K191">
        <v>11</v>
      </c>
      <c r="L191" s="107">
        <f t="shared" si="20"/>
        <v>39022</v>
      </c>
    </row>
    <row r="192" spans="1:12" x14ac:dyDescent="0.2">
      <c r="A192" s="87"/>
      <c r="B192" s="77" t="s">
        <v>371</v>
      </c>
      <c r="C192" s="66">
        <v>2615.0500000000002</v>
      </c>
      <c r="D192" s="66">
        <v>0.48</v>
      </c>
      <c r="E192" s="70">
        <v>1.1200000000000001</v>
      </c>
      <c r="F192" s="66">
        <v>1.58</v>
      </c>
      <c r="G192" s="66">
        <v>3.14</v>
      </c>
      <c r="H192" s="67">
        <v>3.14</v>
      </c>
      <c r="J192">
        <f t="shared" si="25"/>
        <v>2006</v>
      </c>
      <c r="K192">
        <v>12</v>
      </c>
      <c r="L192" s="107">
        <f t="shared" si="20"/>
        <v>39052</v>
      </c>
    </row>
    <row r="193" spans="1:12" x14ac:dyDescent="0.2">
      <c r="A193" s="52"/>
      <c r="B193" s="52"/>
      <c r="C193" s="61"/>
      <c r="D193" s="62"/>
      <c r="E193" s="63"/>
      <c r="F193" s="63"/>
      <c r="G193" s="63"/>
      <c r="H193" s="64"/>
      <c r="L193" s="107" t="e">
        <f t="shared" si="20"/>
        <v>#NUM!</v>
      </c>
    </row>
    <row r="194" spans="1:12" x14ac:dyDescent="0.2">
      <c r="A194" s="54">
        <v>2007</v>
      </c>
      <c r="B194" s="77" t="s">
        <v>360</v>
      </c>
      <c r="C194" s="66">
        <v>2626.56</v>
      </c>
      <c r="D194" s="66">
        <v>0.44</v>
      </c>
      <c r="E194" s="70">
        <v>1.23</v>
      </c>
      <c r="F194" s="66">
        <v>1.83</v>
      </c>
      <c r="G194" s="66">
        <v>0.44</v>
      </c>
      <c r="H194" s="67">
        <v>2.99</v>
      </c>
      <c r="J194">
        <f t="shared" ref="J194" si="26">A194</f>
        <v>2007</v>
      </c>
      <c r="K194">
        <v>1</v>
      </c>
      <c r="L194" s="107">
        <f t="shared" si="20"/>
        <v>39083</v>
      </c>
    </row>
    <row r="195" spans="1:12" x14ac:dyDescent="0.2">
      <c r="A195" s="85"/>
      <c r="B195" s="77" t="s">
        <v>361</v>
      </c>
      <c r="C195" s="66">
        <v>2638.12</v>
      </c>
      <c r="D195" s="66">
        <v>0.44</v>
      </c>
      <c r="E195" s="70">
        <v>1.37</v>
      </c>
      <c r="F195" s="66">
        <v>2.23</v>
      </c>
      <c r="G195" s="66">
        <v>0.88</v>
      </c>
      <c r="H195" s="67">
        <v>3.02</v>
      </c>
      <c r="J195">
        <f t="shared" ref="J195:J205" si="27">J194</f>
        <v>2007</v>
      </c>
      <c r="K195">
        <v>2</v>
      </c>
      <c r="L195" s="107">
        <f t="shared" si="20"/>
        <v>39114</v>
      </c>
    </row>
    <row r="196" spans="1:12" x14ac:dyDescent="0.2">
      <c r="A196" s="85"/>
      <c r="B196" s="77" t="s">
        <v>362</v>
      </c>
      <c r="C196" s="66">
        <v>2647.88</v>
      </c>
      <c r="D196" s="66">
        <v>0.37</v>
      </c>
      <c r="E196" s="70">
        <v>1.26</v>
      </c>
      <c r="F196" s="66">
        <v>2.39</v>
      </c>
      <c r="G196" s="66">
        <v>1.26</v>
      </c>
      <c r="H196" s="67">
        <v>2.96</v>
      </c>
      <c r="J196">
        <f t="shared" si="27"/>
        <v>2007</v>
      </c>
      <c r="K196">
        <v>3</v>
      </c>
      <c r="L196" s="107">
        <f t="shared" si="20"/>
        <v>39142</v>
      </c>
    </row>
    <row r="197" spans="1:12" x14ac:dyDescent="0.2">
      <c r="A197" s="87"/>
      <c r="B197" s="77" t="s">
        <v>363</v>
      </c>
      <c r="C197" s="66">
        <v>2654.5</v>
      </c>
      <c r="D197" s="66">
        <v>0.25</v>
      </c>
      <c r="E197" s="70">
        <v>1.06</v>
      </c>
      <c r="F197" s="66">
        <v>2.31</v>
      </c>
      <c r="G197" s="66">
        <v>1.51</v>
      </c>
      <c r="H197" s="67">
        <v>3</v>
      </c>
      <c r="J197">
        <f t="shared" si="27"/>
        <v>2007</v>
      </c>
      <c r="K197">
        <v>4</v>
      </c>
      <c r="L197" s="107">
        <f t="shared" si="20"/>
        <v>39173</v>
      </c>
    </row>
    <row r="198" spans="1:12" x14ac:dyDescent="0.2">
      <c r="A198" s="87"/>
      <c r="B198" s="77" t="s">
        <v>364</v>
      </c>
      <c r="C198" s="66">
        <v>2661.93</v>
      </c>
      <c r="D198" s="66">
        <v>0.28000000000000003</v>
      </c>
      <c r="E198" s="70">
        <v>0.9</v>
      </c>
      <c r="F198" s="66">
        <v>2.2799999999999998</v>
      </c>
      <c r="G198" s="66">
        <v>1.79</v>
      </c>
      <c r="H198" s="67">
        <v>3.18</v>
      </c>
      <c r="J198">
        <f t="shared" si="27"/>
        <v>2007</v>
      </c>
      <c r="K198">
        <v>5</v>
      </c>
      <c r="L198" s="107">
        <f t="shared" si="20"/>
        <v>39203</v>
      </c>
    </row>
    <row r="199" spans="1:12" x14ac:dyDescent="0.2">
      <c r="A199" s="87"/>
      <c r="B199" s="77" t="s">
        <v>365</v>
      </c>
      <c r="C199" s="66">
        <v>2669.38</v>
      </c>
      <c r="D199" s="66">
        <v>0.28000000000000003</v>
      </c>
      <c r="E199" s="70">
        <v>0.81</v>
      </c>
      <c r="F199" s="66">
        <v>2.08</v>
      </c>
      <c r="G199" s="66">
        <v>2.08</v>
      </c>
      <c r="H199" s="67">
        <v>3.69</v>
      </c>
      <c r="J199">
        <f t="shared" si="27"/>
        <v>2007</v>
      </c>
      <c r="K199">
        <v>6</v>
      </c>
      <c r="L199" s="107">
        <f t="shared" si="20"/>
        <v>39234</v>
      </c>
    </row>
    <row r="200" spans="1:12" x14ac:dyDescent="0.2">
      <c r="A200" s="87"/>
      <c r="B200" s="77" t="s">
        <v>366</v>
      </c>
      <c r="C200" s="66">
        <v>2675.79</v>
      </c>
      <c r="D200" s="66">
        <v>0.24</v>
      </c>
      <c r="E200" s="70">
        <v>0.8</v>
      </c>
      <c r="F200" s="66">
        <v>1.87</v>
      </c>
      <c r="G200" s="66">
        <v>2.3199999999999998</v>
      </c>
      <c r="H200" s="67">
        <v>3.74</v>
      </c>
      <c r="J200">
        <f t="shared" si="27"/>
        <v>2007</v>
      </c>
      <c r="K200">
        <v>7</v>
      </c>
      <c r="L200" s="107">
        <f t="shared" si="20"/>
        <v>39264</v>
      </c>
    </row>
    <row r="201" spans="1:12" x14ac:dyDescent="0.2">
      <c r="A201" s="87"/>
      <c r="B201" s="77" t="s">
        <v>367</v>
      </c>
      <c r="C201" s="66">
        <v>2688.37</v>
      </c>
      <c r="D201" s="66">
        <v>0.47</v>
      </c>
      <c r="E201" s="70">
        <v>0.99</v>
      </c>
      <c r="F201" s="66">
        <v>1.9</v>
      </c>
      <c r="G201" s="66">
        <v>2.8</v>
      </c>
      <c r="H201" s="67">
        <v>4.18</v>
      </c>
      <c r="J201">
        <f t="shared" si="27"/>
        <v>2007</v>
      </c>
      <c r="K201">
        <v>8</v>
      </c>
      <c r="L201" s="107">
        <f t="shared" si="20"/>
        <v>39295</v>
      </c>
    </row>
    <row r="202" spans="1:12" x14ac:dyDescent="0.2">
      <c r="A202" s="87"/>
      <c r="B202" s="77" t="s">
        <v>368</v>
      </c>
      <c r="C202" s="66">
        <v>2693.21</v>
      </c>
      <c r="D202" s="66">
        <v>0.18</v>
      </c>
      <c r="E202" s="70">
        <v>0.89</v>
      </c>
      <c r="F202" s="66">
        <v>1.71</v>
      </c>
      <c r="G202" s="66">
        <v>2.99</v>
      </c>
      <c r="H202" s="67">
        <v>4.1500000000000004</v>
      </c>
      <c r="J202">
        <f t="shared" si="27"/>
        <v>2007</v>
      </c>
      <c r="K202">
        <v>9</v>
      </c>
      <c r="L202" s="107">
        <f t="shared" ref="L202:L265" si="28">DATE(J202,K202,1)</f>
        <v>39326</v>
      </c>
    </row>
    <row r="203" spans="1:12" x14ac:dyDescent="0.2">
      <c r="A203" s="87"/>
      <c r="B203" s="77" t="s">
        <v>369</v>
      </c>
      <c r="C203" s="66">
        <v>2701.29</v>
      </c>
      <c r="D203" s="66">
        <v>0.3</v>
      </c>
      <c r="E203" s="70">
        <v>0.95</v>
      </c>
      <c r="F203" s="66">
        <v>1.76</v>
      </c>
      <c r="G203" s="66">
        <v>3.3</v>
      </c>
      <c r="H203" s="67">
        <v>4.12</v>
      </c>
      <c r="J203">
        <f t="shared" si="27"/>
        <v>2007</v>
      </c>
      <c r="K203">
        <v>10</v>
      </c>
      <c r="L203" s="107">
        <f t="shared" si="28"/>
        <v>39356</v>
      </c>
    </row>
    <row r="204" spans="1:12" x14ac:dyDescent="0.2">
      <c r="A204" s="87"/>
      <c r="B204" s="77" t="s">
        <v>370</v>
      </c>
      <c r="C204" s="66">
        <v>2711.55</v>
      </c>
      <c r="D204" s="66">
        <v>0.38</v>
      </c>
      <c r="E204" s="70">
        <v>0.86</v>
      </c>
      <c r="F204" s="66">
        <v>1.86</v>
      </c>
      <c r="G204" s="66">
        <v>3.69</v>
      </c>
      <c r="H204" s="67">
        <v>4.1900000000000004</v>
      </c>
      <c r="J204">
        <f t="shared" si="27"/>
        <v>2007</v>
      </c>
      <c r="K204">
        <v>11</v>
      </c>
      <c r="L204" s="107">
        <f t="shared" si="28"/>
        <v>39387</v>
      </c>
    </row>
    <row r="205" spans="1:12" x14ac:dyDescent="0.2">
      <c r="A205" s="87"/>
      <c r="B205" s="77" t="s">
        <v>371</v>
      </c>
      <c r="C205" s="66">
        <v>2731.62</v>
      </c>
      <c r="D205" s="66">
        <v>0.74</v>
      </c>
      <c r="E205" s="70">
        <v>1.43</v>
      </c>
      <c r="F205" s="66">
        <v>2.33</v>
      </c>
      <c r="G205" s="66">
        <v>4.46</v>
      </c>
      <c r="H205" s="67">
        <v>4.46</v>
      </c>
      <c r="J205">
        <f t="shared" si="27"/>
        <v>2007</v>
      </c>
      <c r="K205">
        <v>12</v>
      </c>
      <c r="L205" s="107">
        <f t="shared" si="28"/>
        <v>39417</v>
      </c>
    </row>
    <row r="206" spans="1:12" x14ac:dyDescent="0.2">
      <c r="A206" s="52"/>
      <c r="B206" s="52"/>
      <c r="C206" s="61"/>
      <c r="D206" s="62"/>
      <c r="E206" s="63"/>
      <c r="F206" s="63"/>
      <c r="G206" s="63"/>
      <c r="H206" s="64"/>
      <c r="L206" s="107" t="e">
        <f t="shared" si="28"/>
        <v>#NUM!</v>
      </c>
    </row>
    <row r="207" spans="1:12" x14ac:dyDescent="0.2">
      <c r="A207" s="54">
        <v>2008</v>
      </c>
      <c r="B207" s="77" t="s">
        <v>360</v>
      </c>
      <c r="C207" s="66">
        <v>2746.37</v>
      </c>
      <c r="D207" s="66">
        <v>0.54</v>
      </c>
      <c r="E207" s="70">
        <v>1.67</v>
      </c>
      <c r="F207" s="66">
        <v>2.64</v>
      </c>
      <c r="G207" s="66">
        <v>0.54</v>
      </c>
      <c r="H207" s="67">
        <v>4.5599999999999996</v>
      </c>
      <c r="J207">
        <f t="shared" ref="J207" si="29">A207</f>
        <v>2008</v>
      </c>
      <c r="K207">
        <v>1</v>
      </c>
      <c r="L207" s="107">
        <f t="shared" si="28"/>
        <v>39448</v>
      </c>
    </row>
    <row r="208" spans="1:12" x14ac:dyDescent="0.2">
      <c r="A208" s="85"/>
      <c r="B208" s="77" t="s">
        <v>361</v>
      </c>
      <c r="C208" s="66">
        <v>2759.83</v>
      </c>
      <c r="D208" s="66">
        <v>0.49</v>
      </c>
      <c r="E208" s="70">
        <v>1.78</v>
      </c>
      <c r="F208" s="66">
        <v>2.66</v>
      </c>
      <c r="G208" s="66">
        <v>1.03</v>
      </c>
      <c r="H208" s="67">
        <v>4.6100000000000003</v>
      </c>
      <c r="J208">
        <f t="shared" ref="J208:J218" si="30">J207</f>
        <v>2008</v>
      </c>
      <c r="K208">
        <v>2</v>
      </c>
      <c r="L208" s="107">
        <f t="shared" si="28"/>
        <v>39479</v>
      </c>
    </row>
    <row r="209" spans="1:12" x14ac:dyDescent="0.2">
      <c r="A209" s="85"/>
      <c r="B209" s="77" t="s">
        <v>362</v>
      </c>
      <c r="C209" s="66">
        <v>2773.08</v>
      </c>
      <c r="D209" s="66">
        <v>0.48</v>
      </c>
      <c r="E209" s="70">
        <v>1.52</v>
      </c>
      <c r="F209" s="66">
        <v>2.97</v>
      </c>
      <c r="G209" s="66">
        <v>1.52</v>
      </c>
      <c r="H209" s="67">
        <v>4.7300000000000004</v>
      </c>
      <c r="J209">
        <f t="shared" si="30"/>
        <v>2008</v>
      </c>
      <c r="K209">
        <v>3</v>
      </c>
      <c r="L209" s="107">
        <f t="shared" si="28"/>
        <v>39508</v>
      </c>
    </row>
    <row r="210" spans="1:12" x14ac:dyDescent="0.2">
      <c r="A210" s="85"/>
      <c r="B210" s="77" t="s">
        <v>363</v>
      </c>
      <c r="C210" s="66">
        <v>2788.33</v>
      </c>
      <c r="D210" s="66">
        <v>0.55000000000000004</v>
      </c>
      <c r="E210" s="70">
        <v>1.53</v>
      </c>
      <c r="F210" s="66">
        <v>3.22</v>
      </c>
      <c r="G210" s="66">
        <v>2.08</v>
      </c>
      <c r="H210" s="67">
        <v>5.04</v>
      </c>
      <c r="J210">
        <f t="shared" si="30"/>
        <v>2008</v>
      </c>
      <c r="K210">
        <v>4</v>
      </c>
      <c r="L210" s="107">
        <f t="shared" si="28"/>
        <v>39539</v>
      </c>
    </row>
    <row r="211" spans="1:12" x14ac:dyDescent="0.2">
      <c r="A211" s="85"/>
      <c r="B211" s="77" t="s">
        <v>364</v>
      </c>
      <c r="C211" s="66">
        <v>2810.36</v>
      </c>
      <c r="D211" s="66">
        <v>0.79</v>
      </c>
      <c r="E211" s="70">
        <v>1.83</v>
      </c>
      <c r="F211" s="66">
        <v>3.64</v>
      </c>
      <c r="G211" s="66">
        <v>2.88</v>
      </c>
      <c r="H211" s="67">
        <v>5.58</v>
      </c>
      <c r="J211">
        <f t="shared" si="30"/>
        <v>2008</v>
      </c>
      <c r="K211">
        <v>5</v>
      </c>
      <c r="L211" s="107">
        <f t="shared" si="28"/>
        <v>39569</v>
      </c>
    </row>
    <row r="212" spans="1:12" x14ac:dyDescent="0.2">
      <c r="A212" s="85"/>
      <c r="B212" s="77" t="s">
        <v>365</v>
      </c>
      <c r="C212" s="66">
        <v>2831.16</v>
      </c>
      <c r="D212" s="66">
        <v>0.74</v>
      </c>
      <c r="E212" s="70">
        <v>2.09</v>
      </c>
      <c r="F212" s="66">
        <v>3.64</v>
      </c>
      <c r="G212" s="66">
        <v>3.64</v>
      </c>
      <c r="H212" s="67">
        <v>6.06</v>
      </c>
      <c r="J212">
        <f t="shared" si="30"/>
        <v>2008</v>
      </c>
      <c r="K212">
        <v>6</v>
      </c>
      <c r="L212" s="107">
        <f t="shared" si="28"/>
        <v>39600</v>
      </c>
    </row>
    <row r="213" spans="1:12" x14ac:dyDescent="0.2">
      <c r="A213" s="85"/>
      <c r="B213" s="77" t="s">
        <v>366</v>
      </c>
      <c r="C213" s="66">
        <v>2846.16</v>
      </c>
      <c r="D213" s="66">
        <v>0.53</v>
      </c>
      <c r="E213" s="70">
        <v>2.0699999999999998</v>
      </c>
      <c r="F213" s="66">
        <v>3.63</v>
      </c>
      <c r="G213" s="66">
        <v>4.1900000000000004</v>
      </c>
      <c r="H213" s="67">
        <v>6.37</v>
      </c>
      <c r="J213">
        <f t="shared" si="30"/>
        <v>2008</v>
      </c>
      <c r="K213">
        <v>7</v>
      </c>
      <c r="L213" s="107">
        <f t="shared" si="28"/>
        <v>39630</v>
      </c>
    </row>
    <row r="214" spans="1:12" x14ac:dyDescent="0.2">
      <c r="A214" s="85"/>
      <c r="B214" s="77" t="s">
        <v>367</v>
      </c>
      <c r="C214" s="66">
        <v>2854.13</v>
      </c>
      <c r="D214" s="66">
        <v>0.28000000000000003</v>
      </c>
      <c r="E214" s="70">
        <v>1.56</v>
      </c>
      <c r="F214" s="66">
        <v>3.42</v>
      </c>
      <c r="G214" s="66">
        <v>4.4800000000000004</v>
      </c>
      <c r="H214" s="67">
        <v>6.17</v>
      </c>
      <c r="J214">
        <f t="shared" si="30"/>
        <v>2008</v>
      </c>
      <c r="K214">
        <v>8</v>
      </c>
      <c r="L214" s="107">
        <f t="shared" si="28"/>
        <v>39661</v>
      </c>
    </row>
    <row r="215" spans="1:12" x14ac:dyDescent="0.2">
      <c r="A215" s="85"/>
      <c r="B215" s="77" t="s">
        <v>368</v>
      </c>
      <c r="C215" s="66">
        <v>2861.55</v>
      </c>
      <c r="D215" s="66">
        <v>0.26</v>
      </c>
      <c r="E215" s="70">
        <v>1.07</v>
      </c>
      <c r="F215" s="66">
        <v>3.19</v>
      </c>
      <c r="G215" s="66">
        <v>4.76</v>
      </c>
      <c r="H215" s="67">
        <v>6.25</v>
      </c>
      <c r="J215">
        <f t="shared" si="30"/>
        <v>2008</v>
      </c>
      <c r="K215">
        <v>9</v>
      </c>
      <c r="L215" s="107">
        <f t="shared" si="28"/>
        <v>39692</v>
      </c>
    </row>
    <row r="216" spans="1:12" x14ac:dyDescent="0.2">
      <c r="A216" s="85"/>
      <c r="B216" s="77" t="s">
        <v>369</v>
      </c>
      <c r="C216" s="66">
        <v>2874.43</v>
      </c>
      <c r="D216" s="66">
        <v>0.45</v>
      </c>
      <c r="E216" s="70">
        <v>0.99</v>
      </c>
      <c r="F216" s="66">
        <v>3.09</v>
      </c>
      <c r="G216" s="66">
        <v>5.23</v>
      </c>
      <c r="H216" s="67">
        <v>6.41</v>
      </c>
      <c r="J216">
        <f t="shared" si="30"/>
        <v>2008</v>
      </c>
      <c r="K216">
        <v>10</v>
      </c>
      <c r="L216" s="107">
        <f t="shared" si="28"/>
        <v>39722</v>
      </c>
    </row>
    <row r="217" spans="1:12" x14ac:dyDescent="0.2">
      <c r="A217" s="85"/>
      <c r="B217" s="77" t="s">
        <v>370</v>
      </c>
      <c r="C217" s="66">
        <v>2884.78</v>
      </c>
      <c r="D217" s="66">
        <v>0.36</v>
      </c>
      <c r="E217" s="70">
        <v>1.07</v>
      </c>
      <c r="F217" s="66">
        <v>2.65</v>
      </c>
      <c r="G217" s="66">
        <v>5.61</v>
      </c>
      <c r="H217" s="67">
        <v>6.39</v>
      </c>
      <c r="J217">
        <f t="shared" si="30"/>
        <v>2008</v>
      </c>
      <c r="K217">
        <v>11</v>
      </c>
      <c r="L217" s="107">
        <f t="shared" si="28"/>
        <v>39753</v>
      </c>
    </row>
    <row r="218" spans="1:12" ht="15" thickBot="1" x14ac:dyDescent="0.25">
      <c r="A218" s="88"/>
      <c r="B218" s="89" t="s">
        <v>371</v>
      </c>
      <c r="C218" s="73">
        <v>2892.86</v>
      </c>
      <c r="D218" s="73">
        <v>0.28000000000000003</v>
      </c>
      <c r="E218" s="84">
        <v>1.0900000000000001</v>
      </c>
      <c r="F218" s="73">
        <v>2.1800000000000002</v>
      </c>
      <c r="G218" s="73">
        <v>5.9</v>
      </c>
      <c r="H218" s="90">
        <v>5.9</v>
      </c>
      <c r="J218">
        <f t="shared" si="30"/>
        <v>2008</v>
      </c>
      <c r="K218">
        <v>12</v>
      </c>
      <c r="L218" s="107">
        <f t="shared" si="28"/>
        <v>39783</v>
      </c>
    </row>
    <row r="219" spans="1:12" ht="15" thickTop="1" x14ac:dyDescent="0.2">
      <c r="A219" s="85"/>
      <c r="B219" s="75"/>
      <c r="C219" s="76"/>
      <c r="D219" s="76"/>
      <c r="E219" s="76"/>
      <c r="F219" s="76"/>
      <c r="G219" s="76"/>
      <c r="H219" s="67"/>
      <c r="L219" s="107" t="e">
        <f t="shared" si="28"/>
        <v>#NUM!</v>
      </c>
    </row>
    <row r="220" spans="1:12" ht="16" x14ac:dyDescent="0.2">
      <c r="A220" s="106" t="s">
        <v>241</v>
      </c>
      <c r="B220" s="106"/>
      <c r="C220" s="106"/>
      <c r="D220" s="106"/>
      <c r="E220" s="106"/>
      <c r="F220" s="106"/>
      <c r="G220" s="106"/>
      <c r="H220" s="106"/>
      <c r="L220" s="107" t="e">
        <f t="shared" si="28"/>
        <v>#NUM!</v>
      </c>
    </row>
    <row r="221" spans="1:12" ht="17" x14ac:dyDescent="0.25">
      <c r="A221" s="105" t="s">
        <v>350</v>
      </c>
      <c r="B221" s="105"/>
      <c r="C221" s="105"/>
      <c r="D221" s="105"/>
      <c r="E221" s="105"/>
      <c r="F221" s="105"/>
      <c r="G221" s="105"/>
      <c r="H221" s="105"/>
      <c r="L221" s="107" t="e">
        <f t="shared" si="28"/>
        <v>#NUM!</v>
      </c>
    </row>
    <row r="222" spans="1:12" ht="15" thickBot="1" x14ac:dyDescent="0.25">
      <c r="A222" s="33"/>
      <c r="B222" s="33"/>
      <c r="C222" s="34"/>
      <c r="D222" s="33"/>
      <c r="E222" s="33"/>
      <c r="F222" s="33"/>
      <c r="G222" s="33"/>
      <c r="H222" s="35" t="s">
        <v>372</v>
      </c>
      <c r="L222" s="107" t="e">
        <f t="shared" si="28"/>
        <v>#NUM!</v>
      </c>
    </row>
    <row r="223" spans="1:12" ht="15" thickTop="1" x14ac:dyDescent="0.2">
      <c r="A223" s="36"/>
      <c r="B223" s="36"/>
      <c r="C223" s="37"/>
      <c r="D223" s="38"/>
      <c r="E223" s="39"/>
      <c r="F223" s="39" t="s">
        <v>352</v>
      </c>
      <c r="G223" s="39"/>
      <c r="H223" s="40"/>
      <c r="L223" s="107" t="e">
        <f t="shared" si="28"/>
        <v>#NUM!</v>
      </c>
    </row>
    <row r="224" spans="1:12" x14ac:dyDescent="0.2">
      <c r="A224" s="41" t="s">
        <v>353</v>
      </c>
      <c r="B224" s="42" t="s">
        <v>354</v>
      </c>
      <c r="C224" s="43" t="s">
        <v>355</v>
      </c>
      <c r="D224" s="103" t="s">
        <v>356</v>
      </c>
      <c r="E224" s="104"/>
      <c r="F224" s="104"/>
      <c r="G224" s="104"/>
      <c r="H224" s="104"/>
      <c r="L224" s="107" t="e">
        <f t="shared" si="28"/>
        <v>#NUM!</v>
      </c>
    </row>
    <row r="225" spans="1:12" x14ac:dyDescent="0.2">
      <c r="A225" s="41"/>
      <c r="B225" s="42"/>
      <c r="C225" s="44" t="s">
        <v>357</v>
      </c>
      <c r="D225" s="45" t="s">
        <v>358</v>
      </c>
      <c r="E225" s="45">
        <v>3</v>
      </c>
      <c r="F225" s="45">
        <v>6</v>
      </c>
      <c r="G225" s="45" t="s">
        <v>358</v>
      </c>
      <c r="H225" s="46">
        <v>12</v>
      </c>
      <c r="L225" s="107" t="e">
        <f t="shared" si="28"/>
        <v>#NUM!</v>
      </c>
    </row>
    <row r="226" spans="1:12" ht="15" thickBot="1" x14ac:dyDescent="0.25">
      <c r="A226" s="47"/>
      <c r="B226" s="47"/>
      <c r="C226" s="48"/>
      <c r="D226" s="49" t="s">
        <v>354</v>
      </c>
      <c r="E226" s="50" t="s">
        <v>359</v>
      </c>
      <c r="F226" s="50" t="s">
        <v>359</v>
      </c>
      <c r="G226" s="50" t="s">
        <v>353</v>
      </c>
      <c r="H226" s="51" t="s">
        <v>359</v>
      </c>
      <c r="L226" s="107" t="e">
        <f t="shared" si="28"/>
        <v>#NUM!</v>
      </c>
    </row>
    <row r="227" spans="1:12" x14ac:dyDescent="0.2">
      <c r="A227" s="52"/>
      <c r="B227" s="52"/>
      <c r="C227" s="53"/>
      <c r="D227" s="54"/>
      <c r="E227" s="55"/>
      <c r="F227" s="55"/>
      <c r="G227" s="55"/>
      <c r="H227" s="56"/>
      <c r="L227" s="107" t="e">
        <f t="shared" si="28"/>
        <v>#NUM!</v>
      </c>
    </row>
    <row r="228" spans="1:12" x14ac:dyDescent="0.2">
      <c r="A228" s="54">
        <v>2009</v>
      </c>
      <c r="B228" s="77" t="s">
        <v>360</v>
      </c>
      <c r="C228" s="66">
        <v>2906.74</v>
      </c>
      <c r="D228" s="66">
        <v>0.48</v>
      </c>
      <c r="E228" s="70">
        <v>1.1200000000000001</v>
      </c>
      <c r="F228" s="66">
        <v>2.13</v>
      </c>
      <c r="G228" s="66">
        <v>0.48</v>
      </c>
      <c r="H228" s="67">
        <v>5.84</v>
      </c>
      <c r="J228">
        <f>A228</f>
        <v>2009</v>
      </c>
      <c r="K228">
        <v>1</v>
      </c>
      <c r="L228" s="107">
        <f t="shared" si="28"/>
        <v>39814</v>
      </c>
    </row>
    <row r="229" spans="1:12" x14ac:dyDescent="0.2">
      <c r="A229" s="85"/>
      <c r="B229" s="77" t="s">
        <v>361</v>
      </c>
      <c r="C229" s="66">
        <v>2922.73</v>
      </c>
      <c r="D229" s="66">
        <v>0.55000000000000004</v>
      </c>
      <c r="E229" s="70">
        <v>1.32</v>
      </c>
      <c r="F229" s="66">
        <v>2.4</v>
      </c>
      <c r="G229" s="66">
        <v>1.03</v>
      </c>
      <c r="H229" s="67">
        <v>5.9</v>
      </c>
      <c r="J229">
        <f>J228</f>
        <v>2009</v>
      </c>
      <c r="K229">
        <v>2</v>
      </c>
      <c r="L229" s="107">
        <f t="shared" si="28"/>
        <v>39845</v>
      </c>
    </row>
    <row r="230" spans="1:12" x14ac:dyDescent="0.2">
      <c r="A230" s="85"/>
      <c r="B230" s="77" t="s">
        <v>362</v>
      </c>
      <c r="C230" s="66">
        <v>2928.57</v>
      </c>
      <c r="D230" s="66">
        <v>0.2</v>
      </c>
      <c r="E230" s="70">
        <v>1.23</v>
      </c>
      <c r="F230" s="66">
        <v>2.34</v>
      </c>
      <c r="G230" s="66">
        <v>1.23</v>
      </c>
      <c r="H230" s="67">
        <v>5.61</v>
      </c>
      <c r="J230">
        <f t="shared" ref="J230:J239" si="31">J229</f>
        <v>2009</v>
      </c>
      <c r="K230">
        <v>3</v>
      </c>
      <c r="L230" s="107">
        <f t="shared" si="28"/>
        <v>39873</v>
      </c>
    </row>
    <row r="231" spans="1:12" x14ac:dyDescent="0.2">
      <c r="A231" s="85"/>
      <c r="B231" s="77" t="s">
        <v>363</v>
      </c>
      <c r="C231" s="66">
        <v>2942.63</v>
      </c>
      <c r="D231" s="66">
        <v>0.48</v>
      </c>
      <c r="E231" s="70">
        <v>1.23</v>
      </c>
      <c r="F231" s="66">
        <v>2.37</v>
      </c>
      <c r="G231" s="66">
        <v>1.72</v>
      </c>
      <c r="H231" s="67">
        <v>5.53</v>
      </c>
      <c r="J231">
        <f t="shared" si="31"/>
        <v>2009</v>
      </c>
      <c r="K231">
        <v>4</v>
      </c>
      <c r="L231" s="107">
        <f t="shared" si="28"/>
        <v>39904</v>
      </c>
    </row>
    <row r="232" spans="1:12" x14ac:dyDescent="0.2">
      <c r="A232" s="85"/>
      <c r="B232" s="77" t="s">
        <v>364</v>
      </c>
      <c r="C232" s="66">
        <v>2956.46</v>
      </c>
      <c r="D232" s="66">
        <v>0.47</v>
      </c>
      <c r="E232" s="70">
        <v>1.1499999999999999</v>
      </c>
      <c r="F232" s="66">
        <v>2.48</v>
      </c>
      <c r="G232" s="66">
        <v>2.2000000000000002</v>
      </c>
      <c r="H232" s="67">
        <v>5.2</v>
      </c>
      <c r="J232">
        <f t="shared" si="31"/>
        <v>2009</v>
      </c>
      <c r="K232">
        <v>5</v>
      </c>
      <c r="L232" s="107">
        <f t="shared" si="28"/>
        <v>39934</v>
      </c>
    </row>
    <row r="233" spans="1:12" x14ac:dyDescent="0.2">
      <c r="A233" s="85"/>
      <c r="B233" s="77" t="s">
        <v>365</v>
      </c>
      <c r="C233" s="66">
        <v>2967.1</v>
      </c>
      <c r="D233" s="66">
        <v>0.36</v>
      </c>
      <c r="E233" s="70">
        <v>1.32</v>
      </c>
      <c r="F233" s="66">
        <v>2.57</v>
      </c>
      <c r="G233" s="66">
        <v>2.57</v>
      </c>
      <c r="H233" s="67">
        <v>4.8</v>
      </c>
      <c r="J233">
        <f t="shared" si="31"/>
        <v>2009</v>
      </c>
      <c r="K233">
        <v>6</v>
      </c>
      <c r="L233" s="107">
        <f t="shared" si="28"/>
        <v>39965</v>
      </c>
    </row>
    <row r="234" spans="1:12" x14ac:dyDescent="0.2">
      <c r="A234" s="85"/>
      <c r="B234" s="77" t="s">
        <v>366</v>
      </c>
      <c r="C234" s="66">
        <v>2974.22</v>
      </c>
      <c r="D234" s="66">
        <v>0.24</v>
      </c>
      <c r="E234" s="70">
        <v>1.07</v>
      </c>
      <c r="F234" s="66">
        <v>2.3199999999999998</v>
      </c>
      <c r="G234" s="66">
        <v>2.81</v>
      </c>
      <c r="H234" s="67">
        <v>4.5</v>
      </c>
      <c r="J234">
        <f t="shared" si="31"/>
        <v>2009</v>
      </c>
      <c r="K234">
        <v>7</v>
      </c>
      <c r="L234" s="107">
        <f t="shared" si="28"/>
        <v>39995</v>
      </c>
    </row>
    <row r="235" spans="1:12" x14ac:dyDescent="0.2">
      <c r="A235" s="85"/>
      <c r="B235" s="77" t="s">
        <v>367</v>
      </c>
      <c r="C235" s="66">
        <v>2978.68</v>
      </c>
      <c r="D235" s="66">
        <v>0.15</v>
      </c>
      <c r="E235" s="70">
        <v>0.75</v>
      </c>
      <c r="F235" s="66">
        <v>1.91</v>
      </c>
      <c r="G235" s="66">
        <v>2.97</v>
      </c>
      <c r="H235" s="67">
        <v>4.3600000000000003</v>
      </c>
      <c r="J235">
        <f t="shared" si="31"/>
        <v>2009</v>
      </c>
      <c r="K235">
        <v>8</v>
      </c>
      <c r="L235" s="107">
        <f t="shared" si="28"/>
        <v>40026</v>
      </c>
    </row>
    <row r="236" spans="1:12" x14ac:dyDescent="0.2">
      <c r="A236" s="85"/>
      <c r="B236" s="77" t="s">
        <v>368</v>
      </c>
      <c r="C236" s="66">
        <v>2985.83</v>
      </c>
      <c r="D236" s="66">
        <v>0.24</v>
      </c>
      <c r="E236" s="70">
        <v>0.63</v>
      </c>
      <c r="F236" s="66">
        <v>1.96</v>
      </c>
      <c r="G236" s="66">
        <v>3.21</v>
      </c>
      <c r="H236" s="67">
        <v>4.34</v>
      </c>
      <c r="J236">
        <f t="shared" si="31"/>
        <v>2009</v>
      </c>
      <c r="K236">
        <v>9</v>
      </c>
      <c r="L236" s="107">
        <f t="shared" si="28"/>
        <v>40057</v>
      </c>
    </row>
    <row r="237" spans="1:12" x14ac:dyDescent="0.2">
      <c r="A237" s="85"/>
      <c r="B237" s="77" t="s">
        <v>369</v>
      </c>
      <c r="C237" s="66">
        <v>2994.19</v>
      </c>
      <c r="D237" s="66">
        <v>0.28000000000000003</v>
      </c>
      <c r="E237" s="70">
        <v>0.67</v>
      </c>
      <c r="F237" s="66">
        <v>1.75</v>
      </c>
      <c r="G237" s="66">
        <v>3.5</v>
      </c>
      <c r="H237" s="67">
        <v>4.17</v>
      </c>
      <c r="J237">
        <f t="shared" si="31"/>
        <v>2009</v>
      </c>
      <c r="K237">
        <v>10</v>
      </c>
      <c r="L237" s="107">
        <f t="shared" si="28"/>
        <v>40087</v>
      </c>
    </row>
    <row r="238" spans="1:12" x14ac:dyDescent="0.2">
      <c r="A238" s="85"/>
      <c r="B238" s="77" t="s">
        <v>370</v>
      </c>
      <c r="C238" s="66">
        <v>3006.47</v>
      </c>
      <c r="D238" s="66">
        <v>0.41</v>
      </c>
      <c r="E238" s="70">
        <v>0.93</v>
      </c>
      <c r="F238" s="66">
        <v>1.69</v>
      </c>
      <c r="G238" s="66">
        <v>3.93</v>
      </c>
      <c r="H238" s="67">
        <v>4.22</v>
      </c>
      <c r="J238">
        <f t="shared" si="31"/>
        <v>2009</v>
      </c>
      <c r="K238">
        <v>11</v>
      </c>
      <c r="L238" s="107">
        <f t="shared" si="28"/>
        <v>40118</v>
      </c>
    </row>
    <row r="239" spans="1:12" x14ac:dyDescent="0.2">
      <c r="A239" s="85"/>
      <c r="B239" s="77" t="s">
        <v>371</v>
      </c>
      <c r="C239" s="66">
        <v>3017.59</v>
      </c>
      <c r="D239" s="66">
        <v>0.37</v>
      </c>
      <c r="E239" s="70">
        <v>1.06</v>
      </c>
      <c r="F239" s="66">
        <v>1.7</v>
      </c>
      <c r="G239" s="66">
        <v>4.3099999999999996</v>
      </c>
      <c r="H239" s="67">
        <v>4.3099999999999996</v>
      </c>
      <c r="J239">
        <f t="shared" si="31"/>
        <v>2009</v>
      </c>
      <c r="K239">
        <v>12</v>
      </c>
      <c r="L239" s="107">
        <f t="shared" si="28"/>
        <v>40148</v>
      </c>
    </row>
    <row r="240" spans="1:12" x14ac:dyDescent="0.2">
      <c r="A240" s="52"/>
      <c r="B240" s="52"/>
      <c r="C240" s="61"/>
      <c r="D240" s="62"/>
      <c r="E240" s="63"/>
      <c r="F240" s="63"/>
      <c r="G240" s="63"/>
      <c r="H240" s="64"/>
      <c r="L240" s="107" t="e">
        <f t="shared" si="28"/>
        <v>#NUM!</v>
      </c>
    </row>
    <row r="241" spans="1:12" x14ac:dyDescent="0.2">
      <c r="A241" s="54">
        <v>2010</v>
      </c>
      <c r="B241" s="77" t="s">
        <v>360</v>
      </c>
      <c r="C241" s="66">
        <v>3040.22</v>
      </c>
      <c r="D241" s="66">
        <v>0.75</v>
      </c>
      <c r="E241" s="70">
        <v>1.54</v>
      </c>
      <c r="F241" s="66">
        <v>2.2200000000000002</v>
      </c>
      <c r="G241" s="66">
        <v>0.75</v>
      </c>
      <c r="H241" s="67">
        <v>4.59</v>
      </c>
      <c r="J241">
        <f t="shared" ref="J241" si="32">A241</f>
        <v>2010</v>
      </c>
      <c r="K241">
        <v>1</v>
      </c>
      <c r="L241" s="107">
        <f t="shared" si="28"/>
        <v>40179</v>
      </c>
    </row>
    <row r="242" spans="1:12" x14ac:dyDescent="0.2">
      <c r="A242" s="85"/>
      <c r="B242" s="77" t="s">
        <v>361</v>
      </c>
      <c r="C242" s="66">
        <v>3063.93</v>
      </c>
      <c r="D242" s="66">
        <v>0.78</v>
      </c>
      <c r="E242" s="70">
        <v>1.91</v>
      </c>
      <c r="F242" s="66">
        <v>2.86</v>
      </c>
      <c r="G242" s="66">
        <v>1.54</v>
      </c>
      <c r="H242" s="67">
        <v>4.83</v>
      </c>
      <c r="J242">
        <f t="shared" ref="J242:J252" si="33">J241</f>
        <v>2010</v>
      </c>
      <c r="K242">
        <v>2</v>
      </c>
      <c r="L242" s="107">
        <f t="shared" si="28"/>
        <v>40210</v>
      </c>
    </row>
    <row r="243" spans="1:12" x14ac:dyDescent="0.2">
      <c r="A243" s="85"/>
      <c r="B243" s="77" t="s">
        <v>362</v>
      </c>
      <c r="C243" s="66">
        <v>3079.86</v>
      </c>
      <c r="D243" s="66">
        <v>0.52</v>
      </c>
      <c r="E243" s="70">
        <v>2.06</v>
      </c>
      <c r="F243" s="66">
        <v>3.15</v>
      </c>
      <c r="G243" s="66">
        <v>2.06</v>
      </c>
      <c r="H243" s="67">
        <v>5.17</v>
      </c>
      <c r="J243">
        <f t="shared" si="33"/>
        <v>2010</v>
      </c>
      <c r="K243">
        <v>3</v>
      </c>
      <c r="L243" s="107">
        <f t="shared" si="28"/>
        <v>40238</v>
      </c>
    </row>
    <row r="244" spans="1:12" x14ac:dyDescent="0.2">
      <c r="A244" s="85"/>
      <c r="B244" s="77" t="s">
        <v>363</v>
      </c>
      <c r="C244" s="66">
        <v>3097.42</v>
      </c>
      <c r="D244" s="66">
        <v>0.56999999999999995</v>
      </c>
      <c r="E244" s="70">
        <v>1.88</v>
      </c>
      <c r="F244" s="66">
        <v>3.45</v>
      </c>
      <c r="G244" s="66">
        <v>2.65</v>
      </c>
      <c r="H244" s="67">
        <v>5.26</v>
      </c>
      <c r="J244">
        <f t="shared" si="33"/>
        <v>2010</v>
      </c>
      <c r="K244">
        <v>4</v>
      </c>
      <c r="L244" s="107">
        <f t="shared" si="28"/>
        <v>40269</v>
      </c>
    </row>
    <row r="245" spans="1:12" x14ac:dyDescent="0.2">
      <c r="A245" s="85"/>
      <c r="B245" s="77" t="s">
        <v>364</v>
      </c>
      <c r="C245" s="66">
        <v>3110.74</v>
      </c>
      <c r="D245" s="66">
        <v>0.43</v>
      </c>
      <c r="E245" s="70">
        <v>1.53</v>
      </c>
      <c r="F245" s="66">
        <v>3.47</v>
      </c>
      <c r="G245" s="66">
        <v>3.09</v>
      </c>
      <c r="H245" s="67">
        <v>5.22</v>
      </c>
      <c r="J245">
        <f t="shared" si="33"/>
        <v>2010</v>
      </c>
      <c r="K245">
        <v>5</v>
      </c>
      <c r="L245" s="107">
        <f t="shared" si="28"/>
        <v>40299</v>
      </c>
    </row>
    <row r="246" spans="1:12" x14ac:dyDescent="0.2">
      <c r="A246" s="85"/>
      <c r="B246" s="77" t="s">
        <v>365</v>
      </c>
      <c r="C246" s="66">
        <v>3110.74</v>
      </c>
      <c r="D246" s="66">
        <v>0</v>
      </c>
      <c r="E246" s="70">
        <v>1</v>
      </c>
      <c r="F246" s="66">
        <v>3.09</v>
      </c>
      <c r="G246" s="66">
        <v>3.09</v>
      </c>
      <c r="H246" s="67">
        <v>4.84</v>
      </c>
      <c r="J246">
        <f t="shared" si="33"/>
        <v>2010</v>
      </c>
      <c r="K246">
        <v>6</v>
      </c>
      <c r="L246" s="107">
        <f t="shared" si="28"/>
        <v>40330</v>
      </c>
    </row>
    <row r="247" spans="1:12" x14ac:dyDescent="0.2">
      <c r="A247" s="85"/>
      <c r="B247" s="77" t="s">
        <v>366</v>
      </c>
      <c r="C247" s="66">
        <v>3111.05</v>
      </c>
      <c r="D247" s="66">
        <v>0.01</v>
      </c>
      <c r="E247" s="70">
        <v>0.44</v>
      </c>
      <c r="F247" s="66">
        <v>2.33</v>
      </c>
      <c r="G247" s="66">
        <v>3.1</v>
      </c>
      <c r="H247" s="67">
        <v>4.5999999999999996</v>
      </c>
      <c r="J247">
        <f t="shared" si="33"/>
        <v>2010</v>
      </c>
      <c r="K247">
        <v>7</v>
      </c>
      <c r="L247" s="107">
        <f t="shared" si="28"/>
        <v>40360</v>
      </c>
    </row>
    <row r="248" spans="1:12" x14ac:dyDescent="0.2">
      <c r="A248" s="85"/>
      <c r="B248" s="77" t="s">
        <v>367</v>
      </c>
      <c r="C248" s="66">
        <v>3112.29</v>
      </c>
      <c r="D248" s="66">
        <v>0.04</v>
      </c>
      <c r="E248" s="70">
        <v>0.05</v>
      </c>
      <c r="F248" s="66">
        <v>1.58</v>
      </c>
      <c r="G248" s="66">
        <v>3.14</v>
      </c>
      <c r="H248" s="67">
        <v>4.49</v>
      </c>
      <c r="J248">
        <f t="shared" si="33"/>
        <v>2010</v>
      </c>
      <c r="K248">
        <v>8</v>
      </c>
      <c r="L248" s="107">
        <f t="shared" si="28"/>
        <v>40391</v>
      </c>
    </row>
    <row r="249" spans="1:12" x14ac:dyDescent="0.2">
      <c r="A249" s="85"/>
      <c r="B249" s="77" t="s">
        <v>368</v>
      </c>
      <c r="C249" s="66">
        <v>3126.29</v>
      </c>
      <c r="D249" s="66">
        <v>0.45</v>
      </c>
      <c r="E249" s="70">
        <v>0.5</v>
      </c>
      <c r="F249" s="66">
        <v>1.51</v>
      </c>
      <c r="G249" s="66">
        <v>3.6</v>
      </c>
      <c r="H249" s="67">
        <v>4.7</v>
      </c>
      <c r="J249">
        <f t="shared" si="33"/>
        <v>2010</v>
      </c>
      <c r="K249">
        <v>9</v>
      </c>
      <c r="L249" s="107">
        <f t="shared" si="28"/>
        <v>40422</v>
      </c>
    </row>
    <row r="250" spans="1:12" x14ac:dyDescent="0.2">
      <c r="A250" s="85"/>
      <c r="B250" s="77" t="s">
        <v>369</v>
      </c>
      <c r="C250" s="66">
        <v>3149.74</v>
      </c>
      <c r="D250" s="66">
        <v>0.75</v>
      </c>
      <c r="E250" s="70">
        <v>1.24</v>
      </c>
      <c r="F250" s="66">
        <v>1.69</v>
      </c>
      <c r="G250" s="66">
        <v>4.38</v>
      </c>
      <c r="H250" s="67">
        <v>5.2</v>
      </c>
      <c r="J250">
        <f t="shared" si="33"/>
        <v>2010</v>
      </c>
      <c r="K250">
        <v>10</v>
      </c>
      <c r="L250" s="107">
        <f t="shared" si="28"/>
        <v>40452</v>
      </c>
    </row>
    <row r="251" spans="1:12" x14ac:dyDescent="0.2">
      <c r="A251" s="85"/>
      <c r="B251" s="77" t="s">
        <v>370</v>
      </c>
      <c r="C251" s="66">
        <v>3175.88</v>
      </c>
      <c r="D251" s="66">
        <v>0.83</v>
      </c>
      <c r="E251" s="70">
        <v>2.04</v>
      </c>
      <c r="F251" s="66">
        <v>2.09</v>
      </c>
      <c r="G251" s="66">
        <v>5.25</v>
      </c>
      <c r="H251" s="67">
        <v>5.63</v>
      </c>
      <c r="J251">
        <f t="shared" si="33"/>
        <v>2010</v>
      </c>
      <c r="K251">
        <v>11</v>
      </c>
      <c r="L251" s="107">
        <f t="shared" si="28"/>
        <v>40483</v>
      </c>
    </row>
    <row r="252" spans="1:12" x14ac:dyDescent="0.2">
      <c r="A252" s="85"/>
      <c r="B252" s="77" t="s">
        <v>371</v>
      </c>
      <c r="C252" s="66">
        <v>3195.89</v>
      </c>
      <c r="D252" s="66">
        <v>0.63</v>
      </c>
      <c r="E252" s="70">
        <v>2.23</v>
      </c>
      <c r="F252" s="66">
        <v>2.74</v>
      </c>
      <c r="G252" s="66">
        <v>5.91</v>
      </c>
      <c r="H252" s="67">
        <v>5.91</v>
      </c>
      <c r="J252">
        <f t="shared" si="33"/>
        <v>2010</v>
      </c>
      <c r="K252">
        <v>12</v>
      </c>
      <c r="L252" s="107">
        <f t="shared" si="28"/>
        <v>40513</v>
      </c>
    </row>
    <row r="253" spans="1:12" x14ac:dyDescent="0.2">
      <c r="A253" s="52"/>
      <c r="B253" s="52"/>
      <c r="C253" s="61"/>
      <c r="D253" s="62"/>
      <c r="E253" s="63"/>
      <c r="F253" s="63"/>
      <c r="G253" s="63"/>
      <c r="H253" s="64"/>
      <c r="L253" s="107" t="e">
        <f t="shared" si="28"/>
        <v>#NUM!</v>
      </c>
    </row>
    <row r="254" spans="1:12" x14ac:dyDescent="0.2">
      <c r="A254" s="54">
        <v>2011</v>
      </c>
      <c r="B254" s="77" t="s">
        <v>360</v>
      </c>
      <c r="C254" s="66">
        <v>3222.42</v>
      </c>
      <c r="D254" s="66">
        <v>0.83</v>
      </c>
      <c r="E254" s="70">
        <v>2.31</v>
      </c>
      <c r="F254" s="66">
        <v>3.58</v>
      </c>
      <c r="G254" s="66">
        <v>0.83</v>
      </c>
      <c r="H254" s="67">
        <v>5.99</v>
      </c>
      <c r="J254">
        <f t="shared" ref="J254" si="34">A254</f>
        <v>2011</v>
      </c>
      <c r="K254">
        <v>1</v>
      </c>
      <c r="L254" s="107">
        <f t="shared" si="28"/>
        <v>40544</v>
      </c>
    </row>
    <row r="255" spans="1:12" x14ac:dyDescent="0.2">
      <c r="A255" s="85"/>
      <c r="B255" s="77" t="s">
        <v>361</v>
      </c>
      <c r="C255" s="66">
        <v>3248.2</v>
      </c>
      <c r="D255" s="66">
        <v>0.8</v>
      </c>
      <c r="E255" s="70">
        <v>2.2799999999999998</v>
      </c>
      <c r="F255" s="66">
        <v>4.37</v>
      </c>
      <c r="G255" s="66">
        <v>1.64</v>
      </c>
      <c r="H255" s="67">
        <v>6.01</v>
      </c>
      <c r="J255">
        <f t="shared" ref="J255:J265" si="35">J254</f>
        <v>2011</v>
      </c>
      <c r="K255">
        <v>2</v>
      </c>
      <c r="L255" s="107">
        <f t="shared" si="28"/>
        <v>40575</v>
      </c>
    </row>
    <row r="256" spans="1:12" x14ac:dyDescent="0.2">
      <c r="A256" s="85"/>
      <c r="B256" s="77" t="s">
        <v>362</v>
      </c>
      <c r="C256" s="66">
        <v>3273.86</v>
      </c>
      <c r="D256" s="66">
        <v>0.79</v>
      </c>
      <c r="E256" s="70">
        <v>2.44</v>
      </c>
      <c r="F256" s="66">
        <v>4.72</v>
      </c>
      <c r="G256" s="66">
        <v>2.44</v>
      </c>
      <c r="H256" s="67">
        <v>6.3</v>
      </c>
      <c r="J256">
        <f t="shared" si="35"/>
        <v>2011</v>
      </c>
      <c r="K256">
        <v>3</v>
      </c>
      <c r="L256" s="107">
        <f t="shared" si="28"/>
        <v>40603</v>
      </c>
    </row>
    <row r="257" spans="1:12" x14ac:dyDescent="0.2">
      <c r="A257" s="85"/>
      <c r="B257" s="77" t="s">
        <v>363</v>
      </c>
      <c r="C257" s="66">
        <v>3299.07</v>
      </c>
      <c r="D257" s="66">
        <v>0.77</v>
      </c>
      <c r="E257" s="70">
        <v>2.38</v>
      </c>
      <c r="F257" s="66">
        <v>4.74</v>
      </c>
      <c r="G257" s="66">
        <v>3.23</v>
      </c>
      <c r="H257" s="67">
        <v>6.51</v>
      </c>
      <c r="J257">
        <f t="shared" si="35"/>
        <v>2011</v>
      </c>
      <c r="K257">
        <v>4</v>
      </c>
      <c r="L257" s="107">
        <f t="shared" si="28"/>
        <v>40634</v>
      </c>
    </row>
    <row r="258" spans="1:12" x14ac:dyDescent="0.2">
      <c r="A258" s="85"/>
      <c r="B258" s="77" t="s">
        <v>364</v>
      </c>
      <c r="C258" s="66">
        <v>3314.58</v>
      </c>
      <c r="D258" s="66">
        <v>0.47</v>
      </c>
      <c r="E258" s="70">
        <v>2.04</v>
      </c>
      <c r="F258" s="66">
        <v>4.37</v>
      </c>
      <c r="G258" s="66">
        <v>3.71</v>
      </c>
      <c r="H258" s="67">
        <v>6.55</v>
      </c>
      <c r="J258">
        <f t="shared" si="35"/>
        <v>2011</v>
      </c>
      <c r="K258">
        <v>5</v>
      </c>
      <c r="L258" s="107">
        <f t="shared" si="28"/>
        <v>40664</v>
      </c>
    </row>
    <row r="259" spans="1:12" x14ac:dyDescent="0.2">
      <c r="A259" s="85"/>
      <c r="B259" s="77" t="s">
        <v>365</v>
      </c>
      <c r="C259" s="66">
        <v>3319.55</v>
      </c>
      <c r="D259" s="66">
        <v>0.15</v>
      </c>
      <c r="E259" s="70">
        <v>1.4</v>
      </c>
      <c r="F259" s="66">
        <v>3.87</v>
      </c>
      <c r="G259" s="66">
        <v>3.87</v>
      </c>
      <c r="H259" s="67">
        <v>6.71</v>
      </c>
      <c r="J259">
        <f t="shared" si="35"/>
        <v>2011</v>
      </c>
      <c r="K259">
        <v>6</v>
      </c>
      <c r="L259" s="107">
        <f t="shared" si="28"/>
        <v>40695</v>
      </c>
    </row>
    <row r="260" spans="1:12" x14ac:dyDescent="0.2">
      <c r="A260" s="85"/>
      <c r="B260" s="77" t="s">
        <v>366</v>
      </c>
      <c r="C260" s="66">
        <v>3324.86</v>
      </c>
      <c r="D260" s="66">
        <v>0.16</v>
      </c>
      <c r="E260" s="70">
        <v>0.78</v>
      </c>
      <c r="F260" s="66">
        <v>3.18</v>
      </c>
      <c r="G260" s="66">
        <v>4.04</v>
      </c>
      <c r="H260" s="67">
        <v>6.87</v>
      </c>
      <c r="J260">
        <f t="shared" si="35"/>
        <v>2011</v>
      </c>
      <c r="K260">
        <v>7</v>
      </c>
      <c r="L260" s="107">
        <f t="shared" si="28"/>
        <v>40725</v>
      </c>
    </row>
    <row r="261" spans="1:12" x14ac:dyDescent="0.2">
      <c r="A261" s="85"/>
      <c r="B261" s="77" t="s">
        <v>367</v>
      </c>
      <c r="C261" s="66">
        <v>3337.16</v>
      </c>
      <c r="D261" s="66">
        <v>0.37</v>
      </c>
      <c r="E261" s="70">
        <v>0.68</v>
      </c>
      <c r="F261" s="66">
        <v>2.74</v>
      </c>
      <c r="G261" s="66">
        <v>4.42</v>
      </c>
      <c r="H261" s="67">
        <v>7.23</v>
      </c>
      <c r="J261">
        <f t="shared" si="35"/>
        <v>2011</v>
      </c>
      <c r="K261">
        <v>8</v>
      </c>
      <c r="L261" s="107">
        <f t="shared" si="28"/>
        <v>40756</v>
      </c>
    </row>
    <row r="262" spans="1:12" x14ac:dyDescent="0.2">
      <c r="A262" s="85"/>
      <c r="B262" s="77" t="s">
        <v>368</v>
      </c>
      <c r="C262" s="66">
        <v>3354.85</v>
      </c>
      <c r="D262" s="66">
        <v>0.53</v>
      </c>
      <c r="E262" s="70">
        <v>1.06</v>
      </c>
      <c r="F262" s="66">
        <v>2.4700000000000002</v>
      </c>
      <c r="G262" s="66">
        <v>4.97</v>
      </c>
      <c r="H262" s="67">
        <v>7.31</v>
      </c>
      <c r="J262">
        <f t="shared" si="35"/>
        <v>2011</v>
      </c>
      <c r="K262">
        <v>9</v>
      </c>
      <c r="L262" s="107">
        <f t="shared" si="28"/>
        <v>40787</v>
      </c>
    </row>
    <row r="263" spans="1:12" x14ac:dyDescent="0.2">
      <c r="A263" s="85"/>
      <c r="B263" s="77" t="s">
        <v>369</v>
      </c>
      <c r="C263" s="66">
        <v>3369.28</v>
      </c>
      <c r="D263" s="66">
        <v>0.43</v>
      </c>
      <c r="E263" s="70">
        <v>1.34</v>
      </c>
      <c r="F263" s="66">
        <v>2.13</v>
      </c>
      <c r="G263" s="66">
        <v>5.43</v>
      </c>
      <c r="H263" s="67">
        <v>6.97</v>
      </c>
      <c r="J263">
        <f t="shared" si="35"/>
        <v>2011</v>
      </c>
      <c r="K263">
        <v>10</v>
      </c>
      <c r="L263" s="107">
        <f t="shared" si="28"/>
        <v>40817</v>
      </c>
    </row>
    <row r="264" spans="1:12" x14ac:dyDescent="0.2">
      <c r="A264" s="85"/>
      <c r="B264" s="77" t="s">
        <v>370</v>
      </c>
      <c r="C264" s="66">
        <v>3386.8</v>
      </c>
      <c r="D264" s="66">
        <v>0.52</v>
      </c>
      <c r="E264" s="70">
        <v>1.49</v>
      </c>
      <c r="F264" s="66">
        <v>2.1800000000000002</v>
      </c>
      <c r="G264" s="66">
        <v>5.97</v>
      </c>
      <c r="H264" s="67">
        <v>6.64</v>
      </c>
      <c r="J264">
        <f t="shared" si="35"/>
        <v>2011</v>
      </c>
      <c r="K264">
        <v>11</v>
      </c>
      <c r="L264" s="107">
        <f t="shared" si="28"/>
        <v>40848</v>
      </c>
    </row>
    <row r="265" spans="1:12" x14ac:dyDescent="0.2">
      <c r="A265" s="85"/>
      <c r="B265" s="77" t="s">
        <v>371</v>
      </c>
      <c r="C265" s="66">
        <v>3403.73</v>
      </c>
      <c r="D265" s="66">
        <v>0.5</v>
      </c>
      <c r="E265" s="70">
        <v>1.46</v>
      </c>
      <c r="F265" s="66">
        <v>2.54</v>
      </c>
      <c r="G265" s="66">
        <v>6.5</v>
      </c>
      <c r="H265" s="67">
        <v>6.5</v>
      </c>
      <c r="J265">
        <f t="shared" si="35"/>
        <v>2011</v>
      </c>
      <c r="K265">
        <v>12</v>
      </c>
      <c r="L265" s="107">
        <f t="shared" si="28"/>
        <v>40878</v>
      </c>
    </row>
    <row r="266" spans="1:12" x14ac:dyDescent="0.2">
      <c r="A266" s="85"/>
      <c r="B266" s="77"/>
      <c r="C266" s="66"/>
      <c r="D266" s="66"/>
      <c r="E266" s="70"/>
      <c r="F266" s="66"/>
      <c r="G266" s="66"/>
      <c r="H266" s="67"/>
      <c r="L266" s="107" t="e">
        <f t="shared" ref="L266:L329" si="36">DATE(J266,K266,1)</f>
        <v>#NUM!</v>
      </c>
    </row>
    <row r="267" spans="1:12" x14ac:dyDescent="0.2">
      <c r="A267" s="54">
        <v>2012</v>
      </c>
      <c r="B267" s="77" t="s">
        <v>360</v>
      </c>
      <c r="C267" s="66">
        <v>3422.79</v>
      </c>
      <c r="D267" s="66">
        <v>0.56000000000000005</v>
      </c>
      <c r="E267" s="70">
        <v>1.59</v>
      </c>
      <c r="F267" s="66">
        <v>2.95</v>
      </c>
      <c r="G267" s="66">
        <v>0.56000000000000005</v>
      </c>
      <c r="H267" s="67">
        <v>6.22</v>
      </c>
      <c r="J267">
        <f t="shared" ref="J267" si="37">A267</f>
        <v>2012</v>
      </c>
      <c r="K267">
        <v>1</v>
      </c>
      <c r="L267" s="107">
        <f t="shared" si="36"/>
        <v>40909</v>
      </c>
    </row>
    <row r="268" spans="1:12" x14ac:dyDescent="0.2">
      <c r="A268" s="85"/>
      <c r="B268" s="77" t="s">
        <v>361</v>
      </c>
      <c r="C268" s="66">
        <v>3438.19</v>
      </c>
      <c r="D268" s="66">
        <v>0.45</v>
      </c>
      <c r="E268" s="70">
        <v>1.52</v>
      </c>
      <c r="F268" s="66">
        <v>3.03</v>
      </c>
      <c r="G268" s="66">
        <v>1.01</v>
      </c>
      <c r="H268" s="67">
        <v>5.85</v>
      </c>
      <c r="J268">
        <f t="shared" ref="J268:J278" si="38">J267</f>
        <v>2012</v>
      </c>
      <c r="K268">
        <v>2</v>
      </c>
      <c r="L268" s="107">
        <f t="shared" si="36"/>
        <v>40940</v>
      </c>
    </row>
    <row r="269" spans="1:12" x14ac:dyDescent="0.2">
      <c r="A269" s="85"/>
      <c r="B269" s="77" t="s">
        <v>362</v>
      </c>
      <c r="C269" s="66">
        <v>3445.41</v>
      </c>
      <c r="D269" s="66">
        <v>0.21</v>
      </c>
      <c r="E269" s="70">
        <v>1.22</v>
      </c>
      <c r="F269" s="66">
        <v>2.7</v>
      </c>
      <c r="G269" s="66">
        <v>1.22</v>
      </c>
      <c r="H269" s="67">
        <v>5.24</v>
      </c>
      <c r="J269">
        <f t="shared" si="38"/>
        <v>2012</v>
      </c>
      <c r="K269">
        <v>3</v>
      </c>
      <c r="L269" s="107">
        <f t="shared" si="36"/>
        <v>40969</v>
      </c>
    </row>
    <row r="270" spans="1:12" x14ac:dyDescent="0.2">
      <c r="A270" s="85"/>
      <c r="B270" s="77" t="s">
        <v>363</v>
      </c>
      <c r="C270" s="66">
        <v>3467.46</v>
      </c>
      <c r="D270" s="66">
        <v>0.64</v>
      </c>
      <c r="E270" s="70">
        <v>1.31</v>
      </c>
      <c r="F270" s="66">
        <v>2.91</v>
      </c>
      <c r="G270" s="66">
        <v>1.87</v>
      </c>
      <c r="H270" s="67">
        <v>5.0999999999999996</v>
      </c>
      <c r="J270">
        <f t="shared" si="38"/>
        <v>2012</v>
      </c>
      <c r="K270">
        <v>4</v>
      </c>
      <c r="L270" s="107">
        <f t="shared" si="36"/>
        <v>41000</v>
      </c>
    </row>
    <row r="271" spans="1:12" x14ac:dyDescent="0.2">
      <c r="A271" s="85"/>
      <c r="B271" s="77" t="s">
        <v>364</v>
      </c>
      <c r="C271" s="66">
        <v>3479.94</v>
      </c>
      <c r="D271" s="66">
        <v>0.36</v>
      </c>
      <c r="E271" s="70">
        <v>1.21</v>
      </c>
      <c r="F271" s="66">
        <v>2.75</v>
      </c>
      <c r="G271" s="66">
        <v>2.2400000000000002</v>
      </c>
      <c r="H271" s="67">
        <v>4.99</v>
      </c>
      <c r="J271">
        <f t="shared" si="38"/>
        <v>2012</v>
      </c>
      <c r="K271">
        <v>5</v>
      </c>
      <c r="L271" s="107">
        <f t="shared" si="36"/>
        <v>41030</v>
      </c>
    </row>
    <row r="272" spans="1:12" x14ac:dyDescent="0.2">
      <c r="A272" s="85"/>
      <c r="B272" s="77" t="s">
        <v>365</v>
      </c>
      <c r="C272" s="66">
        <v>3482.72</v>
      </c>
      <c r="D272" s="66">
        <v>0.08</v>
      </c>
      <c r="E272" s="70">
        <v>1.08</v>
      </c>
      <c r="F272" s="66">
        <v>2.3199999999999998</v>
      </c>
      <c r="G272" s="66">
        <v>2.3199999999999998</v>
      </c>
      <c r="H272" s="67">
        <v>4.92</v>
      </c>
      <c r="J272">
        <f t="shared" si="38"/>
        <v>2012</v>
      </c>
      <c r="K272">
        <v>6</v>
      </c>
      <c r="L272" s="107">
        <f t="shared" si="36"/>
        <v>41061</v>
      </c>
    </row>
    <row r="273" spans="1:12" x14ac:dyDescent="0.2">
      <c r="A273" s="85"/>
      <c r="B273" s="77" t="s">
        <v>366</v>
      </c>
      <c r="C273" s="66">
        <v>3497.7</v>
      </c>
      <c r="D273" s="66">
        <v>0.43</v>
      </c>
      <c r="E273" s="70">
        <v>0.87</v>
      </c>
      <c r="F273" s="66">
        <v>2.19</v>
      </c>
      <c r="G273" s="66">
        <v>2.76</v>
      </c>
      <c r="H273" s="67">
        <v>5.2</v>
      </c>
      <c r="J273">
        <f t="shared" si="38"/>
        <v>2012</v>
      </c>
      <c r="K273">
        <v>7</v>
      </c>
      <c r="L273" s="107">
        <f t="shared" si="36"/>
        <v>41091</v>
      </c>
    </row>
    <row r="274" spans="1:12" x14ac:dyDescent="0.2">
      <c r="A274" s="85"/>
      <c r="B274" s="91" t="s">
        <v>367</v>
      </c>
      <c r="C274" s="92">
        <v>3512.04</v>
      </c>
      <c r="D274" s="92">
        <v>0.41</v>
      </c>
      <c r="E274" s="92">
        <v>0.92</v>
      </c>
      <c r="F274" s="92">
        <v>2.15</v>
      </c>
      <c r="G274" s="92">
        <v>3.18</v>
      </c>
      <c r="H274" s="93">
        <v>5.24</v>
      </c>
      <c r="J274">
        <f t="shared" si="38"/>
        <v>2012</v>
      </c>
      <c r="K274">
        <v>8</v>
      </c>
      <c r="L274" s="107">
        <f t="shared" si="36"/>
        <v>41122</v>
      </c>
    </row>
    <row r="275" spans="1:12" x14ac:dyDescent="0.2">
      <c r="A275" s="85"/>
      <c r="B275" s="91" t="s">
        <v>368</v>
      </c>
      <c r="C275" s="92">
        <v>3532.06</v>
      </c>
      <c r="D275" s="92">
        <v>0.56999999999999995</v>
      </c>
      <c r="E275" s="92">
        <v>1.42</v>
      </c>
      <c r="F275" s="92">
        <v>2.5099999999999998</v>
      </c>
      <c r="G275" s="92">
        <v>3.77</v>
      </c>
      <c r="H275" s="93">
        <v>5.28</v>
      </c>
      <c r="J275">
        <f t="shared" si="38"/>
        <v>2012</v>
      </c>
      <c r="K275">
        <v>9</v>
      </c>
      <c r="L275" s="107">
        <f t="shared" si="36"/>
        <v>41153</v>
      </c>
    </row>
    <row r="276" spans="1:12" x14ac:dyDescent="0.2">
      <c r="A276" s="94"/>
      <c r="B276" s="91" t="s">
        <v>369</v>
      </c>
      <c r="C276" s="92">
        <v>3552.9</v>
      </c>
      <c r="D276" s="92">
        <v>0.59</v>
      </c>
      <c r="E276" s="92">
        <v>1.58</v>
      </c>
      <c r="F276" s="92">
        <v>2.46</v>
      </c>
      <c r="G276" s="92">
        <v>4.38</v>
      </c>
      <c r="H276" s="93">
        <v>5.45</v>
      </c>
      <c r="J276">
        <f t="shared" si="38"/>
        <v>2012</v>
      </c>
      <c r="K276">
        <v>10</v>
      </c>
      <c r="L276" s="107">
        <f t="shared" si="36"/>
        <v>41183</v>
      </c>
    </row>
    <row r="277" spans="1:12" x14ac:dyDescent="0.2">
      <c r="A277" s="94"/>
      <c r="B277" s="91" t="s">
        <v>370</v>
      </c>
      <c r="C277" s="92">
        <v>3574.22</v>
      </c>
      <c r="D277" s="92">
        <v>0.6</v>
      </c>
      <c r="E277" s="92">
        <v>1.77</v>
      </c>
      <c r="F277" s="92">
        <v>2.71</v>
      </c>
      <c r="G277" s="92">
        <v>5.01</v>
      </c>
      <c r="H277" s="93">
        <v>5.53</v>
      </c>
      <c r="J277">
        <f t="shared" si="38"/>
        <v>2012</v>
      </c>
      <c r="K277">
        <v>11</v>
      </c>
      <c r="L277" s="107">
        <f t="shared" si="36"/>
        <v>41214</v>
      </c>
    </row>
    <row r="278" spans="1:12" x14ac:dyDescent="0.2">
      <c r="A278" s="94"/>
      <c r="B278" s="91" t="s">
        <v>371</v>
      </c>
      <c r="C278" s="92">
        <v>3602.46</v>
      </c>
      <c r="D278" s="92">
        <v>0.79</v>
      </c>
      <c r="E278" s="92">
        <v>1.99</v>
      </c>
      <c r="F278" s="92">
        <v>3.44</v>
      </c>
      <c r="G278" s="92">
        <v>5.84</v>
      </c>
      <c r="H278" s="93">
        <v>5.84</v>
      </c>
      <c r="J278">
        <f t="shared" si="38"/>
        <v>2012</v>
      </c>
      <c r="K278">
        <v>12</v>
      </c>
      <c r="L278" s="107">
        <f t="shared" si="36"/>
        <v>41244</v>
      </c>
    </row>
    <row r="279" spans="1:12" x14ac:dyDescent="0.2">
      <c r="A279" s="94"/>
      <c r="B279" s="91"/>
      <c r="C279" s="92"/>
      <c r="D279" s="92"/>
      <c r="E279" s="92"/>
      <c r="F279" s="92"/>
      <c r="G279" s="92"/>
      <c r="H279" s="93"/>
      <c r="L279" s="107" t="e">
        <f t="shared" si="36"/>
        <v>#NUM!</v>
      </c>
    </row>
    <row r="280" spans="1:12" x14ac:dyDescent="0.2">
      <c r="A280" s="54">
        <v>2013</v>
      </c>
      <c r="B280" s="95" t="s">
        <v>360</v>
      </c>
      <c r="C280" s="92">
        <v>3633.44</v>
      </c>
      <c r="D280" s="92">
        <v>0.86</v>
      </c>
      <c r="E280" s="92">
        <v>2.27</v>
      </c>
      <c r="F280" s="92">
        <v>3.88</v>
      </c>
      <c r="G280" s="92">
        <v>0.86</v>
      </c>
      <c r="H280" s="93">
        <v>6.15</v>
      </c>
      <c r="J280">
        <f t="shared" ref="J280" si="39">A280</f>
        <v>2013</v>
      </c>
      <c r="K280">
        <v>1</v>
      </c>
      <c r="L280" s="107">
        <f t="shared" si="36"/>
        <v>41275</v>
      </c>
    </row>
    <row r="281" spans="1:12" x14ac:dyDescent="0.2">
      <c r="A281" s="54"/>
      <c r="B281" s="95" t="s">
        <v>361</v>
      </c>
      <c r="C281" s="92">
        <v>3655.24</v>
      </c>
      <c r="D281" s="92">
        <v>0.6</v>
      </c>
      <c r="E281" s="92">
        <v>2.27</v>
      </c>
      <c r="F281" s="92">
        <v>4.08</v>
      </c>
      <c r="G281" s="92">
        <v>1.47</v>
      </c>
      <c r="H281" s="93">
        <v>6.31</v>
      </c>
      <c r="J281">
        <f t="shared" ref="J281:J291" si="40">J280</f>
        <v>2013</v>
      </c>
      <c r="K281">
        <v>2</v>
      </c>
      <c r="L281" s="107">
        <f t="shared" si="36"/>
        <v>41306</v>
      </c>
    </row>
    <row r="282" spans="1:12" x14ac:dyDescent="0.2">
      <c r="A282" s="54"/>
      <c r="B282" s="95" t="s">
        <v>362</v>
      </c>
      <c r="C282" s="92">
        <v>3672.42</v>
      </c>
      <c r="D282" s="92">
        <v>0.47</v>
      </c>
      <c r="E282" s="92">
        <v>1.94</v>
      </c>
      <c r="F282" s="92">
        <v>3.97</v>
      </c>
      <c r="G282" s="92">
        <v>1.94</v>
      </c>
      <c r="H282" s="93">
        <v>6.59</v>
      </c>
      <c r="J282">
        <f t="shared" si="40"/>
        <v>2013</v>
      </c>
      <c r="K282">
        <v>3</v>
      </c>
      <c r="L282" s="107">
        <f t="shared" si="36"/>
        <v>41334</v>
      </c>
    </row>
    <row r="283" spans="1:12" x14ac:dyDescent="0.2">
      <c r="A283" s="96"/>
      <c r="B283" s="75" t="s">
        <v>363</v>
      </c>
      <c r="C283" s="92">
        <v>3692.62</v>
      </c>
      <c r="D283" s="92">
        <v>0.55000000000000004</v>
      </c>
      <c r="E283" s="92">
        <v>1.63</v>
      </c>
      <c r="F283" s="92">
        <v>3.93</v>
      </c>
      <c r="G283" s="92">
        <v>2.5</v>
      </c>
      <c r="H283" s="93">
        <v>6.49</v>
      </c>
      <c r="J283">
        <f t="shared" si="40"/>
        <v>2013</v>
      </c>
      <c r="K283">
        <v>4</v>
      </c>
      <c r="L283" s="107">
        <f t="shared" si="36"/>
        <v>41365</v>
      </c>
    </row>
    <row r="284" spans="1:12" x14ac:dyDescent="0.2">
      <c r="A284" s="54"/>
      <c r="B284" s="95" t="s">
        <v>364</v>
      </c>
      <c r="C284" s="92">
        <v>3706.28</v>
      </c>
      <c r="D284" s="92">
        <v>0.37</v>
      </c>
      <c r="E284" s="92">
        <v>1.4</v>
      </c>
      <c r="F284" s="92">
        <v>3.69</v>
      </c>
      <c r="G284" s="92">
        <v>2.88</v>
      </c>
      <c r="H284" s="93">
        <v>6.5</v>
      </c>
      <c r="J284">
        <f t="shared" si="40"/>
        <v>2013</v>
      </c>
      <c r="K284">
        <v>5</v>
      </c>
      <c r="L284" s="107">
        <f t="shared" si="36"/>
        <v>41395</v>
      </c>
    </row>
    <row r="285" spans="1:12" x14ac:dyDescent="0.2">
      <c r="A285" s="54"/>
      <c r="B285" s="95" t="s">
        <v>365</v>
      </c>
      <c r="C285" s="92">
        <v>3715.92</v>
      </c>
      <c r="D285" s="92">
        <v>0.26</v>
      </c>
      <c r="E285" s="92">
        <v>1.18</v>
      </c>
      <c r="F285" s="92">
        <v>3.15</v>
      </c>
      <c r="G285" s="92">
        <v>3.15</v>
      </c>
      <c r="H285" s="93">
        <v>6.7</v>
      </c>
      <c r="J285">
        <f t="shared" si="40"/>
        <v>2013</v>
      </c>
      <c r="K285">
        <v>6</v>
      </c>
      <c r="L285" s="107">
        <f t="shared" si="36"/>
        <v>41426</v>
      </c>
    </row>
    <row r="286" spans="1:12" x14ac:dyDescent="0.2">
      <c r="A286" s="96"/>
      <c r="B286" s="75" t="s">
        <v>366</v>
      </c>
      <c r="C286" s="92">
        <v>3717.03</v>
      </c>
      <c r="D286" s="92">
        <v>0.03</v>
      </c>
      <c r="E286" s="92">
        <v>0.66</v>
      </c>
      <c r="F286" s="92">
        <v>2.2999999999999998</v>
      </c>
      <c r="G286" s="92">
        <v>3.18</v>
      </c>
      <c r="H286" s="93">
        <v>6.27</v>
      </c>
      <c r="J286">
        <f t="shared" si="40"/>
        <v>2013</v>
      </c>
      <c r="K286">
        <v>7</v>
      </c>
      <c r="L286" s="107">
        <f t="shared" si="36"/>
        <v>41456</v>
      </c>
    </row>
    <row r="287" spans="1:12" x14ac:dyDescent="0.2">
      <c r="A287" s="96"/>
      <c r="B287" s="75" t="s">
        <v>367</v>
      </c>
      <c r="C287" s="92">
        <v>3725.95</v>
      </c>
      <c r="D287" s="92">
        <v>0.24</v>
      </c>
      <c r="E287" s="92">
        <v>0.53</v>
      </c>
      <c r="F287" s="92">
        <v>1.93</v>
      </c>
      <c r="G287" s="92">
        <v>3.43</v>
      </c>
      <c r="H287" s="93">
        <v>6.09</v>
      </c>
      <c r="J287">
        <f t="shared" si="40"/>
        <v>2013</v>
      </c>
      <c r="K287">
        <v>8</v>
      </c>
      <c r="L287" s="107">
        <f t="shared" si="36"/>
        <v>41487</v>
      </c>
    </row>
    <row r="288" spans="1:12" x14ac:dyDescent="0.2">
      <c r="A288" s="96"/>
      <c r="B288" s="75" t="s">
        <v>368</v>
      </c>
      <c r="C288" s="92">
        <v>3738.99</v>
      </c>
      <c r="D288" s="92">
        <v>0.35</v>
      </c>
      <c r="E288" s="92">
        <v>0.62</v>
      </c>
      <c r="F288" s="92">
        <v>1.81</v>
      </c>
      <c r="G288" s="92">
        <v>3.79</v>
      </c>
      <c r="H288" s="93">
        <v>5.86</v>
      </c>
      <c r="J288">
        <f t="shared" si="40"/>
        <v>2013</v>
      </c>
      <c r="K288">
        <v>9</v>
      </c>
      <c r="L288" s="107">
        <f t="shared" si="36"/>
        <v>41518</v>
      </c>
    </row>
    <row r="289" spans="1:12" x14ac:dyDescent="0.2">
      <c r="A289" s="96"/>
      <c r="B289" s="75" t="s">
        <v>369</v>
      </c>
      <c r="C289" s="92">
        <v>3760.3</v>
      </c>
      <c r="D289" s="92">
        <v>0.56999999999999995</v>
      </c>
      <c r="E289" s="92">
        <v>1.1599999999999999</v>
      </c>
      <c r="F289" s="92">
        <v>1.83</v>
      </c>
      <c r="G289" s="92">
        <v>4.38</v>
      </c>
      <c r="H289" s="93">
        <v>5.84</v>
      </c>
      <c r="J289">
        <f t="shared" si="40"/>
        <v>2013</v>
      </c>
      <c r="K289">
        <v>10</v>
      </c>
      <c r="L289" s="107">
        <f t="shared" si="36"/>
        <v>41548</v>
      </c>
    </row>
    <row r="290" spans="1:12" x14ac:dyDescent="0.2">
      <c r="A290" s="96"/>
      <c r="B290" s="75" t="s">
        <v>370</v>
      </c>
      <c r="C290" s="92">
        <v>3780.61</v>
      </c>
      <c r="D290" s="92">
        <v>0.54</v>
      </c>
      <c r="E290" s="92">
        <v>1.47</v>
      </c>
      <c r="F290" s="92">
        <v>2.0099999999999998</v>
      </c>
      <c r="G290" s="92">
        <v>4.95</v>
      </c>
      <c r="H290" s="93">
        <v>5.77</v>
      </c>
      <c r="J290">
        <f t="shared" si="40"/>
        <v>2013</v>
      </c>
      <c r="K290">
        <v>11</v>
      </c>
      <c r="L290" s="107">
        <f t="shared" si="36"/>
        <v>41579</v>
      </c>
    </row>
    <row r="291" spans="1:12" ht="15" thickBot="1" x14ac:dyDescent="0.25">
      <c r="A291" s="97"/>
      <c r="B291" s="98" t="s">
        <v>371</v>
      </c>
      <c r="C291" s="99">
        <v>3815.39</v>
      </c>
      <c r="D291" s="99">
        <v>0.92</v>
      </c>
      <c r="E291" s="99">
        <v>2.04</v>
      </c>
      <c r="F291" s="99">
        <v>2.68</v>
      </c>
      <c r="G291" s="99">
        <v>5.91</v>
      </c>
      <c r="H291" s="100">
        <v>5.91</v>
      </c>
      <c r="J291">
        <f t="shared" si="40"/>
        <v>2013</v>
      </c>
      <c r="K291">
        <v>12</v>
      </c>
      <c r="L291" s="107">
        <f t="shared" si="36"/>
        <v>41609</v>
      </c>
    </row>
    <row r="292" spans="1:12" ht="15" thickTop="1" x14ac:dyDescent="0.2">
      <c r="A292" s="54"/>
      <c r="B292" s="75"/>
      <c r="C292" s="76"/>
      <c r="D292" s="76"/>
      <c r="E292" s="76"/>
      <c r="F292" s="76"/>
      <c r="G292" s="76"/>
      <c r="H292" s="67"/>
      <c r="L292" s="107" t="e">
        <f t="shared" si="36"/>
        <v>#NUM!</v>
      </c>
    </row>
    <row r="293" spans="1:12" x14ac:dyDescent="0.2">
      <c r="A293" s="54"/>
      <c r="B293" s="75"/>
      <c r="C293" s="76"/>
      <c r="D293" s="76"/>
      <c r="E293" s="76"/>
      <c r="F293" s="76"/>
      <c r="G293" s="76"/>
      <c r="H293" s="67"/>
      <c r="L293" s="107" t="e">
        <f t="shared" si="36"/>
        <v>#NUM!</v>
      </c>
    </row>
    <row r="294" spans="1:12" ht="17" x14ac:dyDescent="0.25">
      <c r="A294" s="105" t="s">
        <v>350</v>
      </c>
      <c r="B294" s="105"/>
      <c r="C294" s="105"/>
      <c r="D294" s="105"/>
      <c r="E294" s="105"/>
      <c r="F294" s="105"/>
      <c r="G294" s="105"/>
      <c r="H294" s="105"/>
      <c r="L294" s="107" t="e">
        <f t="shared" si="36"/>
        <v>#NUM!</v>
      </c>
    </row>
    <row r="295" spans="1:12" ht="15" thickBot="1" x14ac:dyDescent="0.25">
      <c r="A295" s="33"/>
      <c r="B295" s="33"/>
      <c r="C295" s="34"/>
      <c r="D295" s="33"/>
      <c r="E295" s="33"/>
      <c r="F295" s="33"/>
      <c r="G295" s="33"/>
      <c r="H295" s="35" t="s">
        <v>372</v>
      </c>
      <c r="L295" s="107" t="e">
        <f t="shared" si="36"/>
        <v>#NUM!</v>
      </c>
    </row>
    <row r="296" spans="1:12" ht="15" thickTop="1" x14ac:dyDescent="0.2">
      <c r="A296" s="36"/>
      <c r="B296" s="36"/>
      <c r="C296" s="37"/>
      <c r="D296" s="38"/>
      <c r="E296" s="39"/>
      <c r="F296" s="39" t="s">
        <v>352</v>
      </c>
      <c r="G296" s="39"/>
      <c r="H296" s="40"/>
      <c r="L296" s="107" t="e">
        <f t="shared" si="36"/>
        <v>#NUM!</v>
      </c>
    </row>
    <row r="297" spans="1:12" x14ac:dyDescent="0.2">
      <c r="A297" s="41" t="s">
        <v>353</v>
      </c>
      <c r="B297" s="42" t="s">
        <v>354</v>
      </c>
      <c r="C297" s="43" t="s">
        <v>355</v>
      </c>
      <c r="D297" s="103" t="s">
        <v>356</v>
      </c>
      <c r="E297" s="104"/>
      <c r="F297" s="104"/>
      <c r="G297" s="104"/>
      <c r="H297" s="104"/>
      <c r="L297" s="107" t="e">
        <f t="shared" si="36"/>
        <v>#NUM!</v>
      </c>
    </row>
    <row r="298" spans="1:12" x14ac:dyDescent="0.2">
      <c r="A298" s="41"/>
      <c r="B298" s="42"/>
      <c r="C298" s="44" t="s">
        <v>357</v>
      </c>
      <c r="D298" s="45" t="s">
        <v>358</v>
      </c>
      <c r="E298" s="45">
        <v>3</v>
      </c>
      <c r="F298" s="45">
        <v>6</v>
      </c>
      <c r="G298" s="45" t="s">
        <v>358</v>
      </c>
      <c r="H298" s="46">
        <v>12</v>
      </c>
      <c r="L298" s="107" t="e">
        <f t="shared" si="36"/>
        <v>#NUM!</v>
      </c>
    </row>
    <row r="299" spans="1:12" ht="15" thickBot="1" x14ac:dyDescent="0.25">
      <c r="A299" s="47"/>
      <c r="B299" s="47"/>
      <c r="C299" s="48"/>
      <c r="D299" s="49" t="s">
        <v>354</v>
      </c>
      <c r="E299" s="50" t="s">
        <v>359</v>
      </c>
      <c r="F299" s="50" t="s">
        <v>359</v>
      </c>
      <c r="G299" s="50" t="s">
        <v>353</v>
      </c>
      <c r="H299" s="51" t="s">
        <v>359</v>
      </c>
      <c r="L299" s="107" t="e">
        <f t="shared" si="36"/>
        <v>#NUM!</v>
      </c>
    </row>
    <row r="300" spans="1:12" x14ac:dyDescent="0.2">
      <c r="A300" s="54"/>
      <c r="B300" s="95"/>
      <c r="C300" s="92"/>
      <c r="D300" s="92"/>
      <c r="E300" s="92"/>
      <c r="F300" s="92"/>
      <c r="G300" s="92"/>
      <c r="H300" s="93"/>
      <c r="L300" s="107" t="e">
        <f t="shared" si="36"/>
        <v>#NUM!</v>
      </c>
    </row>
    <row r="301" spans="1:12" x14ac:dyDescent="0.2">
      <c r="A301" s="54">
        <v>2014</v>
      </c>
      <c r="B301" s="77" t="s">
        <v>360</v>
      </c>
      <c r="C301" s="66">
        <v>3836.37</v>
      </c>
      <c r="D301" s="66">
        <v>0.55000000000000004</v>
      </c>
      <c r="E301" s="70">
        <v>2.02</v>
      </c>
      <c r="F301" s="66">
        <v>3.21</v>
      </c>
      <c r="G301" s="66">
        <v>0.55000000000000004</v>
      </c>
      <c r="H301" s="67">
        <v>5.59</v>
      </c>
      <c r="J301">
        <f>A301</f>
        <v>2014</v>
      </c>
      <c r="K301">
        <v>1</v>
      </c>
      <c r="L301" s="107">
        <f t="shared" si="36"/>
        <v>41640</v>
      </c>
    </row>
    <row r="302" spans="1:12" x14ac:dyDescent="0.2">
      <c r="A302" s="85"/>
      <c r="B302" s="77" t="s">
        <v>361</v>
      </c>
      <c r="C302" s="66">
        <v>3862.84</v>
      </c>
      <c r="D302" s="66">
        <v>0.69</v>
      </c>
      <c r="E302" s="70">
        <v>2.1800000000000002</v>
      </c>
      <c r="F302" s="66">
        <v>3.67</v>
      </c>
      <c r="G302" s="66">
        <v>1.24</v>
      </c>
      <c r="H302" s="67">
        <v>5.68</v>
      </c>
      <c r="J302">
        <f>J301</f>
        <v>2014</v>
      </c>
      <c r="K302">
        <v>2</v>
      </c>
      <c r="L302" s="107">
        <f t="shared" si="36"/>
        <v>41671</v>
      </c>
    </row>
    <row r="303" spans="1:12" x14ac:dyDescent="0.2">
      <c r="A303" s="85"/>
      <c r="B303" s="77" t="s">
        <v>362</v>
      </c>
      <c r="C303" s="66">
        <v>3898.38</v>
      </c>
      <c r="D303" s="66">
        <v>0.92</v>
      </c>
      <c r="E303" s="70">
        <v>2.1800000000000002</v>
      </c>
      <c r="F303" s="66">
        <v>4.26</v>
      </c>
      <c r="G303" s="66">
        <v>2.1800000000000002</v>
      </c>
      <c r="H303" s="67">
        <v>6.15</v>
      </c>
      <c r="J303">
        <f t="shared" ref="J303:J312" si="41">J302</f>
        <v>2014</v>
      </c>
      <c r="K303">
        <v>3</v>
      </c>
      <c r="L303" s="107">
        <f t="shared" si="36"/>
        <v>41699</v>
      </c>
    </row>
    <row r="304" spans="1:12" x14ac:dyDescent="0.2">
      <c r="A304" s="85"/>
      <c r="B304" s="77" t="s">
        <v>363</v>
      </c>
      <c r="C304" s="66">
        <v>3924.5</v>
      </c>
      <c r="D304" s="66">
        <v>0.67</v>
      </c>
      <c r="E304" s="70">
        <v>2.2999999999999998</v>
      </c>
      <c r="F304" s="66">
        <v>4.37</v>
      </c>
      <c r="G304" s="66">
        <v>2.86</v>
      </c>
      <c r="H304" s="67">
        <v>6.28</v>
      </c>
      <c r="J304">
        <f t="shared" si="41"/>
        <v>2014</v>
      </c>
      <c r="K304">
        <v>4</v>
      </c>
      <c r="L304" s="107">
        <f t="shared" si="36"/>
        <v>41730</v>
      </c>
    </row>
    <row r="305" spans="1:12" x14ac:dyDescent="0.2">
      <c r="A305" s="85"/>
      <c r="B305" s="77" t="s">
        <v>364</v>
      </c>
      <c r="C305" s="66">
        <v>3942.55</v>
      </c>
      <c r="D305" s="66">
        <v>0.46</v>
      </c>
      <c r="E305" s="70">
        <v>2.06</v>
      </c>
      <c r="F305" s="66">
        <v>4.28</v>
      </c>
      <c r="G305" s="66">
        <v>3.33</v>
      </c>
      <c r="H305" s="67">
        <v>6.37</v>
      </c>
      <c r="J305">
        <f t="shared" si="41"/>
        <v>2014</v>
      </c>
      <c r="K305">
        <v>5</v>
      </c>
      <c r="L305" s="107">
        <f t="shared" si="36"/>
        <v>41760</v>
      </c>
    </row>
    <row r="306" spans="1:12" x14ac:dyDescent="0.2">
      <c r="A306" s="85"/>
      <c r="B306" s="77" t="s">
        <v>365</v>
      </c>
      <c r="C306" s="66">
        <v>3958.32</v>
      </c>
      <c r="D306" s="66">
        <v>0.4</v>
      </c>
      <c r="E306" s="70">
        <v>1.54</v>
      </c>
      <c r="F306" s="66">
        <v>3.75</v>
      </c>
      <c r="G306" s="66">
        <v>3.75</v>
      </c>
      <c r="H306" s="67">
        <v>6.52</v>
      </c>
      <c r="J306">
        <f t="shared" si="41"/>
        <v>2014</v>
      </c>
      <c r="K306">
        <v>6</v>
      </c>
      <c r="L306" s="107">
        <f t="shared" si="36"/>
        <v>41791</v>
      </c>
    </row>
    <row r="307" spans="1:12" x14ac:dyDescent="0.2">
      <c r="A307" s="85"/>
      <c r="B307" s="77" t="s">
        <v>366</v>
      </c>
      <c r="C307" s="66">
        <v>3958.72</v>
      </c>
      <c r="D307" s="66">
        <v>0.01</v>
      </c>
      <c r="E307" s="70">
        <v>0.87</v>
      </c>
      <c r="F307" s="66">
        <v>3.19</v>
      </c>
      <c r="G307" s="66">
        <v>3.76</v>
      </c>
      <c r="H307" s="67">
        <v>6.5</v>
      </c>
      <c r="J307">
        <f t="shared" si="41"/>
        <v>2014</v>
      </c>
      <c r="K307">
        <v>7</v>
      </c>
      <c r="L307" s="107">
        <f t="shared" si="36"/>
        <v>41821</v>
      </c>
    </row>
    <row r="308" spans="1:12" x14ac:dyDescent="0.2">
      <c r="A308" s="85"/>
      <c r="B308" s="77" t="s">
        <v>367</v>
      </c>
      <c r="C308" s="66">
        <v>3968.62</v>
      </c>
      <c r="D308" s="66">
        <v>0.25</v>
      </c>
      <c r="E308" s="70">
        <v>0.66</v>
      </c>
      <c r="F308" s="66">
        <v>2.74</v>
      </c>
      <c r="G308" s="66">
        <v>4.0199999999999996</v>
      </c>
      <c r="H308" s="67">
        <v>6.51</v>
      </c>
      <c r="J308">
        <f t="shared" si="41"/>
        <v>2014</v>
      </c>
      <c r="K308">
        <v>8</v>
      </c>
      <c r="L308" s="107">
        <f t="shared" si="36"/>
        <v>41852</v>
      </c>
    </row>
    <row r="309" spans="1:12" x14ac:dyDescent="0.2">
      <c r="A309" s="85"/>
      <c r="B309" s="77" t="s">
        <v>368</v>
      </c>
      <c r="C309" s="66">
        <v>3991.24</v>
      </c>
      <c r="D309" s="66">
        <v>0.56999999999999995</v>
      </c>
      <c r="E309" s="70">
        <v>0.83</v>
      </c>
      <c r="F309" s="66">
        <v>2.38</v>
      </c>
      <c r="G309" s="66">
        <v>4.6100000000000003</v>
      </c>
      <c r="H309" s="67">
        <v>6.75</v>
      </c>
      <c r="J309">
        <f t="shared" si="41"/>
        <v>2014</v>
      </c>
      <c r="K309">
        <v>9</v>
      </c>
      <c r="L309" s="107">
        <f t="shared" si="36"/>
        <v>41883</v>
      </c>
    </row>
    <row r="310" spans="1:12" x14ac:dyDescent="0.2">
      <c r="A310" s="85"/>
      <c r="B310" s="77" t="s">
        <v>369</v>
      </c>
      <c r="C310" s="66">
        <v>4008</v>
      </c>
      <c r="D310" s="66">
        <v>0.42</v>
      </c>
      <c r="E310" s="70">
        <v>1.24</v>
      </c>
      <c r="F310" s="66">
        <v>2.13</v>
      </c>
      <c r="G310" s="66">
        <v>5.05</v>
      </c>
      <c r="H310" s="67">
        <v>6.59</v>
      </c>
      <c r="J310">
        <f t="shared" si="41"/>
        <v>2014</v>
      </c>
      <c r="K310">
        <v>10</v>
      </c>
      <c r="L310" s="107">
        <f t="shared" si="36"/>
        <v>41913</v>
      </c>
    </row>
    <row r="311" spans="1:12" x14ac:dyDescent="0.2">
      <c r="A311" s="85"/>
      <c r="B311" s="77" t="s">
        <v>370</v>
      </c>
      <c r="C311" s="66">
        <v>4028.44</v>
      </c>
      <c r="D311" s="66">
        <v>0.51</v>
      </c>
      <c r="E311" s="70">
        <v>1.51</v>
      </c>
      <c r="F311" s="66">
        <v>2.1800000000000002</v>
      </c>
      <c r="G311" s="66">
        <v>5.58</v>
      </c>
      <c r="H311" s="67">
        <v>6.56</v>
      </c>
      <c r="J311">
        <f t="shared" si="41"/>
        <v>2014</v>
      </c>
      <c r="K311">
        <v>11</v>
      </c>
      <c r="L311" s="107">
        <f t="shared" si="36"/>
        <v>41944</v>
      </c>
    </row>
    <row r="312" spans="1:12" x14ac:dyDescent="0.2">
      <c r="A312" s="85"/>
      <c r="B312" s="77" t="s">
        <v>371</v>
      </c>
      <c r="C312" s="66">
        <v>4059.86</v>
      </c>
      <c r="D312" s="66">
        <v>0.78</v>
      </c>
      <c r="E312" s="70">
        <v>1.72</v>
      </c>
      <c r="F312" s="66">
        <v>2.57</v>
      </c>
      <c r="G312" s="66">
        <v>6.41</v>
      </c>
      <c r="H312" s="67">
        <v>6.41</v>
      </c>
      <c r="J312">
        <f t="shared" si="41"/>
        <v>2014</v>
      </c>
      <c r="K312">
        <v>12</v>
      </c>
      <c r="L312" s="107">
        <f t="shared" si="36"/>
        <v>41974</v>
      </c>
    </row>
    <row r="313" spans="1:12" x14ac:dyDescent="0.2">
      <c r="A313" s="52"/>
      <c r="B313" s="52"/>
      <c r="C313" s="61"/>
      <c r="D313" s="62"/>
      <c r="E313" s="63"/>
      <c r="F313" s="63"/>
      <c r="G313" s="63"/>
      <c r="H313" s="64"/>
      <c r="L313" s="107" t="e">
        <f t="shared" si="36"/>
        <v>#NUM!</v>
      </c>
    </row>
    <row r="314" spans="1:12" x14ac:dyDescent="0.2">
      <c r="A314" s="54">
        <v>2015</v>
      </c>
      <c r="B314" s="77" t="s">
        <v>360</v>
      </c>
      <c r="C314" s="66">
        <v>4110.2</v>
      </c>
      <c r="D314" s="66">
        <v>1.24</v>
      </c>
      <c r="E314" s="70">
        <v>2.5499999999999998</v>
      </c>
      <c r="F314" s="66">
        <v>3.83</v>
      </c>
      <c r="G314" s="66">
        <v>1.24</v>
      </c>
      <c r="H314" s="67">
        <v>7.14</v>
      </c>
      <c r="J314">
        <f t="shared" ref="J314" si="42">A314</f>
        <v>2015</v>
      </c>
      <c r="K314">
        <v>1</v>
      </c>
      <c r="L314" s="107">
        <f t="shared" si="36"/>
        <v>42005</v>
      </c>
    </row>
    <row r="315" spans="1:12" x14ac:dyDescent="0.2">
      <c r="A315" s="85"/>
      <c r="B315" s="77" t="s">
        <v>361</v>
      </c>
      <c r="C315" s="66">
        <v>4160.34</v>
      </c>
      <c r="D315" s="66">
        <v>1.22</v>
      </c>
      <c r="E315" s="70">
        <v>3.27</v>
      </c>
      <c r="F315" s="66">
        <v>4.83</v>
      </c>
      <c r="G315" s="66">
        <v>2.48</v>
      </c>
      <c r="H315" s="67">
        <v>7.7</v>
      </c>
      <c r="J315">
        <f t="shared" ref="J315:J325" si="43">J314</f>
        <v>2015</v>
      </c>
      <c r="K315">
        <v>2</v>
      </c>
      <c r="L315" s="107">
        <f t="shared" si="36"/>
        <v>42036</v>
      </c>
    </row>
    <row r="316" spans="1:12" x14ac:dyDescent="0.2">
      <c r="A316" s="85"/>
      <c r="B316" s="77" t="s">
        <v>362</v>
      </c>
      <c r="C316" s="66">
        <v>4215.26</v>
      </c>
      <c r="D316" s="66">
        <v>1.32</v>
      </c>
      <c r="E316" s="70">
        <v>3.83</v>
      </c>
      <c r="F316" s="66">
        <v>5.61</v>
      </c>
      <c r="G316" s="66">
        <v>3.83</v>
      </c>
      <c r="H316" s="67">
        <v>8.1300000000000008</v>
      </c>
      <c r="J316">
        <f t="shared" si="43"/>
        <v>2015</v>
      </c>
      <c r="K316">
        <v>3</v>
      </c>
      <c r="L316" s="107">
        <f t="shared" si="36"/>
        <v>42064</v>
      </c>
    </row>
    <row r="317" spans="1:12" x14ac:dyDescent="0.2">
      <c r="A317" s="85"/>
      <c r="B317" s="77" t="s">
        <v>363</v>
      </c>
      <c r="C317" s="66">
        <v>4245.1899999999996</v>
      </c>
      <c r="D317" s="66">
        <v>0.71</v>
      </c>
      <c r="E317" s="70">
        <v>3.28</v>
      </c>
      <c r="F317" s="66">
        <v>5.92</v>
      </c>
      <c r="G317" s="66">
        <v>4.5599999999999996</v>
      </c>
      <c r="H317" s="67">
        <v>8.17</v>
      </c>
      <c r="J317">
        <f t="shared" si="43"/>
        <v>2015</v>
      </c>
      <c r="K317">
        <v>4</v>
      </c>
      <c r="L317" s="107">
        <f t="shared" si="36"/>
        <v>42095</v>
      </c>
    </row>
    <row r="318" spans="1:12" x14ac:dyDescent="0.2">
      <c r="A318" s="85"/>
      <c r="B318" s="77" t="s">
        <v>364</v>
      </c>
      <c r="C318" s="66">
        <v>4276.6000000000004</v>
      </c>
      <c r="D318" s="66">
        <v>0.74</v>
      </c>
      <c r="E318" s="70">
        <v>2.79</v>
      </c>
      <c r="F318" s="66">
        <v>6.16</v>
      </c>
      <c r="G318" s="66">
        <v>5.34</v>
      </c>
      <c r="H318" s="67">
        <v>8.4700000000000006</v>
      </c>
      <c r="J318">
        <f t="shared" si="43"/>
        <v>2015</v>
      </c>
      <c r="K318">
        <v>5</v>
      </c>
      <c r="L318" s="107">
        <f t="shared" si="36"/>
        <v>42125</v>
      </c>
    </row>
    <row r="319" spans="1:12" x14ac:dyDescent="0.2">
      <c r="A319" s="85"/>
      <c r="B319" s="77" t="s">
        <v>365</v>
      </c>
      <c r="C319" s="66">
        <v>4310.3900000000003</v>
      </c>
      <c r="D319" s="66">
        <v>0.79</v>
      </c>
      <c r="E319" s="70">
        <v>2.2599999999999998</v>
      </c>
      <c r="F319" s="66">
        <v>6.17</v>
      </c>
      <c r="G319" s="66">
        <v>6.17</v>
      </c>
      <c r="H319" s="67">
        <v>8.89</v>
      </c>
      <c r="J319">
        <f t="shared" si="43"/>
        <v>2015</v>
      </c>
      <c r="K319">
        <v>6</v>
      </c>
      <c r="L319" s="107">
        <f t="shared" si="36"/>
        <v>42156</v>
      </c>
    </row>
    <row r="320" spans="1:12" x14ac:dyDescent="0.2">
      <c r="A320" s="85"/>
      <c r="B320" s="77" t="s">
        <v>366</v>
      </c>
      <c r="C320" s="66">
        <v>4337.1099999999997</v>
      </c>
      <c r="D320" s="66">
        <v>0.62</v>
      </c>
      <c r="E320" s="70">
        <v>2.17</v>
      </c>
      <c r="F320" s="66">
        <v>5.52</v>
      </c>
      <c r="G320" s="66">
        <v>6.83</v>
      </c>
      <c r="H320" s="67">
        <v>9.56</v>
      </c>
      <c r="J320">
        <f t="shared" si="43"/>
        <v>2015</v>
      </c>
      <c r="K320">
        <v>7</v>
      </c>
      <c r="L320" s="107">
        <f t="shared" si="36"/>
        <v>42186</v>
      </c>
    </row>
    <row r="321" spans="1:12" x14ac:dyDescent="0.2">
      <c r="A321" s="85"/>
      <c r="B321" s="77" t="s">
        <v>367</v>
      </c>
      <c r="C321" s="66">
        <v>4346.6499999999996</v>
      </c>
      <c r="D321" s="66">
        <v>0.22</v>
      </c>
      <c r="E321" s="70">
        <v>1.64</v>
      </c>
      <c r="F321" s="66">
        <v>4.4800000000000004</v>
      </c>
      <c r="G321" s="66">
        <v>7.06</v>
      </c>
      <c r="H321" s="67">
        <v>9.5299999999999994</v>
      </c>
      <c r="J321">
        <f t="shared" si="43"/>
        <v>2015</v>
      </c>
      <c r="K321">
        <v>8</v>
      </c>
      <c r="L321" s="107">
        <f t="shared" si="36"/>
        <v>42217</v>
      </c>
    </row>
    <row r="322" spans="1:12" x14ac:dyDescent="0.2">
      <c r="A322" s="85"/>
      <c r="B322" s="77" t="s">
        <v>368</v>
      </c>
      <c r="C322" s="66">
        <v>4370.12</v>
      </c>
      <c r="D322" s="66">
        <v>0.54</v>
      </c>
      <c r="E322" s="70">
        <v>1.39</v>
      </c>
      <c r="F322" s="66">
        <v>3.67</v>
      </c>
      <c r="G322" s="66">
        <v>7.64</v>
      </c>
      <c r="H322" s="67">
        <v>9.49</v>
      </c>
      <c r="J322">
        <f t="shared" si="43"/>
        <v>2015</v>
      </c>
      <c r="K322">
        <v>9</v>
      </c>
      <c r="L322" s="107">
        <f t="shared" si="36"/>
        <v>42248</v>
      </c>
    </row>
    <row r="323" spans="1:12" x14ac:dyDescent="0.2">
      <c r="A323" s="85"/>
      <c r="B323" s="77" t="s">
        <v>369</v>
      </c>
      <c r="C323" s="66">
        <v>4405.95</v>
      </c>
      <c r="D323" s="66">
        <v>0.82</v>
      </c>
      <c r="E323" s="70">
        <v>1.59</v>
      </c>
      <c r="F323" s="66">
        <v>3.79</v>
      </c>
      <c r="G323" s="66">
        <v>8.52</v>
      </c>
      <c r="H323" s="67">
        <v>9.93</v>
      </c>
      <c r="J323">
        <f t="shared" si="43"/>
        <v>2015</v>
      </c>
      <c r="K323">
        <v>10</v>
      </c>
      <c r="L323" s="107">
        <f t="shared" si="36"/>
        <v>42278</v>
      </c>
    </row>
    <row r="324" spans="1:12" x14ac:dyDescent="0.2">
      <c r="A324" s="85"/>
      <c r="B324" s="77" t="s">
        <v>370</v>
      </c>
      <c r="C324" s="66">
        <v>4450.45</v>
      </c>
      <c r="D324" s="66">
        <v>1.01</v>
      </c>
      <c r="E324" s="70">
        <v>2.39</v>
      </c>
      <c r="F324" s="66">
        <v>4.07</v>
      </c>
      <c r="G324" s="66">
        <v>9.6199999999999992</v>
      </c>
      <c r="H324" s="67">
        <v>10.48</v>
      </c>
      <c r="J324">
        <f t="shared" si="43"/>
        <v>2015</v>
      </c>
      <c r="K324">
        <v>11</v>
      </c>
      <c r="L324" s="107">
        <f t="shared" si="36"/>
        <v>42309</v>
      </c>
    </row>
    <row r="325" spans="1:12" x14ac:dyDescent="0.2">
      <c r="A325" s="85"/>
      <c r="B325" s="77" t="s">
        <v>371</v>
      </c>
      <c r="C325" s="66">
        <v>4493.17</v>
      </c>
      <c r="D325" s="66">
        <v>0.96</v>
      </c>
      <c r="E325" s="70">
        <v>2.82</v>
      </c>
      <c r="F325" s="66">
        <v>4.24</v>
      </c>
      <c r="G325" s="66">
        <v>10.67</v>
      </c>
      <c r="H325" s="67">
        <v>10.67</v>
      </c>
      <c r="J325">
        <f t="shared" si="43"/>
        <v>2015</v>
      </c>
      <c r="K325">
        <v>12</v>
      </c>
      <c r="L325" s="107">
        <f t="shared" si="36"/>
        <v>42339</v>
      </c>
    </row>
    <row r="326" spans="1:12" x14ac:dyDescent="0.2">
      <c r="A326" s="52"/>
      <c r="B326" s="52"/>
      <c r="C326" s="61"/>
      <c r="D326" s="62"/>
      <c r="E326" s="63"/>
      <c r="F326" s="63"/>
      <c r="G326" s="63"/>
      <c r="H326" s="64"/>
      <c r="L326" s="107" t="e">
        <f t="shared" si="36"/>
        <v>#NUM!</v>
      </c>
    </row>
    <row r="327" spans="1:12" x14ac:dyDescent="0.2">
      <c r="A327" s="54">
        <v>2016</v>
      </c>
      <c r="B327" s="77" t="s">
        <v>360</v>
      </c>
      <c r="C327" s="66">
        <v>4550.2299999999996</v>
      </c>
      <c r="D327" s="66">
        <v>1.27</v>
      </c>
      <c r="E327" s="70">
        <v>3.27</v>
      </c>
      <c r="F327" s="66">
        <v>4.91</v>
      </c>
      <c r="G327" s="66">
        <v>1.27</v>
      </c>
      <c r="H327" s="67">
        <v>10.71</v>
      </c>
      <c r="J327">
        <f t="shared" ref="J327" si="44">A327</f>
        <v>2016</v>
      </c>
      <c r="K327">
        <v>1</v>
      </c>
      <c r="L327" s="107">
        <f t="shared" si="36"/>
        <v>42370</v>
      </c>
    </row>
    <row r="328" spans="1:12" x14ac:dyDescent="0.2">
      <c r="A328" s="85"/>
      <c r="B328" s="77" t="s">
        <v>361</v>
      </c>
      <c r="C328" s="66">
        <v>4591.18</v>
      </c>
      <c r="D328" s="66">
        <v>0.9</v>
      </c>
      <c r="E328" s="70">
        <v>3.16</v>
      </c>
      <c r="F328" s="66">
        <v>5.63</v>
      </c>
      <c r="G328" s="66">
        <v>2.1800000000000002</v>
      </c>
      <c r="H328" s="67">
        <v>10.36</v>
      </c>
      <c r="J328">
        <f t="shared" ref="J328:J338" si="45">J327</f>
        <v>2016</v>
      </c>
      <c r="K328">
        <v>2</v>
      </c>
      <c r="L328" s="107">
        <f t="shared" si="36"/>
        <v>42401</v>
      </c>
    </row>
    <row r="329" spans="1:12" x14ac:dyDescent="0.2">
      <c r="A329" s="85"/>
      <c r="B329" s="77" t="s">
        <v>362</v>
      </c>
      <c r="C329" s="66">
        <v>4610.92</v>
      </c>
      <c r="D329" s="66">
        <v>0.43</v>
      </c>
      <c r="E329" s="70">
        <v>2.62</v>
      </c>
      <c r="F329" s="66">
        <v>5.51</v>
      </c>
      <c r="G329" s="66">
        <v>2.62</v>
      </c>
      <c r="H329" s="67">
        <v>9.39</v>
      </c>
      <c r="J329">
        <f t="shared" si="45"/>
        <v>2016</v>
      </c>
      <c r="K329">
        <v>3</v>
      </c>
      <c r="L329" s="107">
        <f t="shared" si="36"/>
        <v>42430</v>
      </c>
    </row>
    <row r="330" spans="1:12" x14ac:dyDescent="0.2">
      <c r="A330" s="85"/>
      <c r="B330" s="77" t="s">
        <v>363</v>
      </c>
      <c r="C330" s="66">
        <v>4639.05</v>
      </c>
      <c r="D330" s="66">
        <v>0.61</v>
      </c>
      <c r="E330" s="70">
        <v>1.95</v>
      </c>
      <c r="F330" s="66">
        <v>5.29</v>
      </c>
      <c r="G330" s="66">
        <v>3.25</v>
      </c>
      <c r="H330" s="67">
        <v>9.2799999999999994</v>
      </c>
      <c r="J330">
        <f t="shared" si="45"/>
        <v>2016</v>
      </c>
      <c r="K330">
        <v>4</v>
      </c>
      <c r="L330" s="107">
        <f t="shared" ref="L330:L393" si="46">DATE(J330,K330,1)</f>
        <v>42461</v>
      </c>
    </row>
    <row r="331" spans="1:12" x14ac:dyDescent="0.2">
      <c r="A331" s="85"/>
      <c r="B331" s="77" t="s">
        <v>364</v>
      </c>
      <c r="C331" s="66">
        <v>4675.2299999999996</v>
      </c>
      <c r="D331" s="66">
        <v>0.78</v>
      </c>
      <c r="E331" s="70">
        <v>1.83</v>
      </c>
      <c r="F331" s="66">
        <v>5.05</v>
      </c>
      <c r="G331" s="66">
        <v>4.05</v>
      </c>
      <c r="H331" s="67">
        <v>9.32</v>
      </c>
      <c r="J331">
        <f t="shared" si="45"/>
        <v>2016</v>
      </c>
      <c r="K331">
        <v>5</v>
      </c>
      <c r="L331" s="107">
        <f t="shared" si="46"/>
        <v>42491</v>
      </c>
    </row>
    <row r="332" spans="1:12" x14ac:dyDescent="0.2">
      <c r="A332" s="85"/>
      <c r="B332" s="77" t="s">
        <v>365</v>
      </c>
      <c r="C332" s="66">
        <v>4691.59</v>
      </c>
      <c r="D332" s="66">
        <v>0.35</v>
      </c>
      <c r="E332" s="70">
        <v>1.75</v>
      </c>
      <c r="F332" s="66">
        <v>4.42</v>
      </c>
      <c r="G332" s="66">
        <v>4.42</v>
      </c>
      <c r="H332" s="67">
        <v>8.84</v>
      </c>
      <c r="J332">
        <f t="shared" si="45"/>
        <v>2016</v>
      </c>
      <c r="K332">
        <v>6</v>
      </c>
      <c r="L332" s="107">
        <f t="shared" si="46"/>
        <v>42522</v>
      </c>
    </row>
    <row r="333" spans="1:12" x14ac:dyDescent="0.2">
      <c r="A333" s="85"/>
      <c r="B333" s="77" t="s">
        <v>366</v>
      </c>
      <c r="C333" s="66">
        <v>4715.99</v>
      </c>
      <c r="D333" s="66">
        <v>0.52</v>
      </c>
      <c r="E333" s="70">
        <v>1.66</v>
      </c>
      <c r="F333" s="66">
        <v>3.64</v>
      </c>
      <c r="G333" s="66">
        <v>4.96</v>
      </c>
      <c r="H333" s="67">
        <v>8.74</v>
      </c>
      <c r="J333">
        <f t="shared" si="45"/>
        <v>2016</v>
      </c>
      <c r="K333">
        <v>7</v>
      </c>
      <c r="L333" s="107">
        <f t="shared" si="46"/>
        <v>42552</v>
      </c>
    </row>
    <row r="334" spans="1:12" x14ac:dyDescent="0.2">
      <c r="A334" s="85"/>
      <c r="B334" s="77" t="s">
        <v>367</v>
      </c>
      <c r="C334" s="66">
        <v>4736.74</v>
      </c>
      <c r="D334" s="66">
        <v>0.44</v>
      </c>
      <c r="E334" s="70">
        <v>1.32</v>
      </c>
      <c r="F334" s="66">
        <v>3.17</v>
      </c>
      <c r="G334" s="66">
        <v>5.42</v>
      </c>
      <c r="H334" s="67">
        <v>8.9700000000000006</v>
      </c>
      <c r="J334">
        <f t="shared" si="45"/>
        <v>2016</v>
      </c>
      <c r="K334">
        <v>8</v>
      </c>
      <c r="L334" s="107">
        <f t="shared" si="46"/>
        <v>42583</v>
      </c>
    </row>
    <row r="335" spans="1:12" x14ac:dyDescent="0.2">
      <c r="A335" s="85"/>
      <c r="B335" s="77" t="s">
        <v>368</v>
      </c>
      <c r="C335" s="66">
        <v>4740.53</v>
      </c>
      <c r="D335" s="66">
        <v>0.08</v>
      </c>
      <c r="E335" s="70">
        <v>1.04</v>
      </c>
      <c r="F335" s="66">
        <v>2.81</v>
      </c>
      <c r="G335" s="66">
        <v>5.51</v>
      </c>
      <c r="H335" s="67">
        <v>8.48</v>
      </c>
      <c r="J335">
        <f t="shared" si="45"/>
        <v>2016</v>
      </c>
      <c r="K335">
        <v>9</v>
      </c>
      <c r="L335" s="107">
        <f t="shared" si="46"/>
        <v>42614</v>
      </c>
    </row>
    <row r="336" spans="1:12" x14ac:dyDescent="0.2">
      <c r="A336" s="85"/>
      <c r="B336" s="77" t="s">
        <v>369</v>
      </c>
      <c r="C336" s="66">
        <v>4752.8599999999997</v>
      </c>
      <c r="D336" s="66">
        <v>0.26</v>
      </c>
      <c r="E336" s="70">
        <v>0.78</v>
      </c>
      <c r="F336" s="66">
        <v>2.4500000000000002</v>
      </c>
      <c r="G336" s="66">
        <v>5.78</v>
      </c>
      <c r="H336" s="67">
        <v>7.87</v>
      </c>
      <c r="J336">
        <f t="shared" si="45"/>
        <v>2016</v>
      </c>
      <c r="K336">
        <v>10</v>
      </c>
      <c r="L336" s="107">
        <f t="shared" si="46"/>
        <v>42644</v>
      </c>
    </row>
    <row r="337" spans="1:12" x14ac:dyDescent="0.2">
      <c r="A337" s="85"/>
      <c r="B337" s="77" t="s">
        <v>370</v>
      </c>
      <c r="C337" s="66">
        <v>4761.42</v>
      </c>
      <c r="D337" s="66">
        <v>0.18</v>
      </c>
      <c r="E337" s="70">
        <v>0.52</v>
      </c>
      <c r="F337" s="66">
        <v>1.84</v>
      </c>
      <c r="G337" s="66">
        <v>5.97</v>
      </c>
      <c r="H337" s="67">
        <v>6.99</v>
      </c>
      <c r="J337">
        <f t="shared" si="45"/>
        <v>2016</v>
      </c>
      <c r="K337">
        <v>11</v>
      </c>
      <c r="L337" s="107">
        <f t="shared" si="46"/>
        <v>42675</v>
      </c>
    </row>
    <row r="338" spans="1:12" x14ac:dyDescent="0.2">
      <c r="A338" s="85"/>
      <c r="B338" s="77" t="s">
        <v>371</v>
      </c>
      <c r="C338" s="66">
        <v>4775.7</v>
      </c>
      <c r="D338" s="66">
        <v>0.3</v>
      </c>
      <c r="E338" s="70">
        <v>0.74</v>
      </c>
      <c r="F338" s="66">
        <v>1.79</v>
      </c>
      <c r="G338" s="66">
        <v>6.29</v>
      </c>
      <c r="H338" s="67">
        <v>6.29</v>
      </c>
      <c r="J338">
        <f t="shared" si="45"/>
        <v>2016</v>
      </c>
      <c r="K338">
        <v>12</v>
      </c>
      <c r="L338" s="107">
        <f t="shared" si="46"/>
        <v>42705</v>
      </c>
    </row>
    <row r="339" spans="1:12" x14ac:dyDescent="0.2">
      <c r="A339" s="85"/>
      <c r="B339" s="77"/>
      <c r="C339" s="66"/>
      <c r="D339" s="66"/>
      <c r="E339" s="70"/>
      <c r="F339" s="66"/>
      <c r="G339" s="66"/>
      <c r="H339" s="67"/>
      <c r="L339" s="107" t="e">
        <f t="shared" si="46"/>
        <v>#NUM!</v>
      </c>
    </row>
    <row r="340" spans="1:12" x14ac:dyDescent="0.2">
      <c r="A340" s="54">
        <v>2017</v>
      </c>
      <c r="B340" s="77" t="s">
        <v>360</v>
      </c>
      <c r="C340" s="66">
        <v>4793.8500000000004</v>
      </c>
      <c r="D340" s="66">
        <v>0.38</v>
      </c>
      <c r="E340" s="70">
        <v>0.86</v>
      </c>
      <c r="F340" s="66">
        <v>1.65</v>
      </c>
      <c r="G340" s="66">
        <v>0.38</v>
      </c>
      <c r="H340" s="67">
        <v>5.35</v>
      </c>
      <c r="J340">
        <f t="shared" ref="J340" si="47">A340</f>
        <v>2017</v>
      </c>
      <c r="K340">
        <v>1</v>
      </c>
      <c r="L340" s="107">
        <f t="shared" si="46"/>
        <v>42736</v>
      </c>
    </row>
    <row r="341" spans="1:12" x14ac:dyDescent="0.2">
      <c r="A341" s="85"/>
      <c r="B341" s="77" t="s">
        <v>361</v>
      </c>
      <c r="C341" s="66">
        <v>4809.67</v>
      </c>
      <c r="D341" s="66">
        <v>0.33</v>
      </c>
      <c r="E341" s="70">
        <v>1.01</v>
      </c>
      <c r="F341" s="66">
        <v>1.54</v>
      </c>
      <c r="G341" s="66">
        <v>0.71</v>
      </c>
      <c r="H341" s="67">
        <v>4.76</v>
      </c>
      <c r="J341">
        <f t="shared" ref="J341:J351" si="48">J340</f>
        <v>2017</v>
      </c>
      <c r="K341">
        <v>2</v>
      </c>
      <c r="L341" s="107">
        <f t="shared" si="46"/>
        <v>42767</v>
      </c>
    </row>
    <row r="342" spans="1:12" x14ac:dyDescent="0.2">
      <c r="A342" s="85"/>
      <c r="B342" s="77" t="s">
        <v>362</v>
      </c>
      <c r="C342" s="66">
        <v>4821.6899999999996</v>
      </c>
      <c r="D342" s="66">
        <v>0.25</v>
      </c>
      <c r="E342" s="70">
        <v>0.96</v>
      </c>
      <c r="F342" s="66">
        <v>1.71</v>
      </c>
      <c r="G342" s="66">
        <v>0.96</v>
      </c>
      <c r="H342" s="67">
        <v>4.57</v>
      </c>
      <c r="J342">
        <f t="shared" si="48"/>
        <v>2017</v>
      </c>
      <c r="K342">
        <v>3</v>
      </c>
      <c r="L342" s="107">
        <f t="shared" si="46"/>
        <v>42795</v>
      </c>
    </row>
    <row r="343" spans="1:12" x14ac:dyDescent="0.2">
      <c r="A343" s="85"/>
      <c r="B343" s="77" t="s">
        <v>363</v>
      </c>
      <c r="C343" s="66">
        <v>4828.4399999999996</v>
      </c>
      <c r="D343" s="66">
        <v>0.14000000000000001</v>
      </c>
      <c r="E343" s="70">
        <v>0.72</v>
      </c>
      <c r="F343" s="66">
        <v>1.59</v>
      </c>
      <c r="G343" s="66">
        <v>1.1000000000000001</v>
      </c>
      <c r="H343" s="67">
        <v>4.08</v>
      </c>
      <c r="J343">
        <f t="shared" si="48"/>
        <v>2017</v>
      </c>
      <c r="K343">
        <v>4</v>
      </c>
      <c r="L343" s="107">
        <f t="shared" si="46"/>
        <v>42826</v>
      </c>
    </row>
    <row r="344" spans="1:12" x14ac:dyDescent="0.2">
      <c r="A344" s="85"/>
      <c r="B344" s="77" t="s">
        <v>364</v>
      </c>
      <c r="C344" s="66">
        <v>4843.41</v>
      </c>
      <c r="D344" s="66">
        <v>0.31</v>
      </c>
      <c r="E344" s="70">
        <v>0.7</v>
      </c>
      <c r="F344" s="66">
        <v>1.72</v>
      </c>
      <c r="G344" s="66">
        <v>1.42</v>
      </c>
      <c r="H344" s="67">
        <v>3.6</v>
      </c>
      <c r="J344">
        <f t="shared" si="48"/>
        <v>2017</v>
      </c>
      <c r="K344">
        <v>5</v>
      </c>
      <c r="L344" s="107">
        <f t="shared" si="46"/>
        <v>42856</v>
      </c>
    </row>
    <row r="345" spans="1:12" x14ac:dyDescent="0.2">
      <c r="A345" s="85"/>
      <c r="B345" s="77" t="s">
        <v>365</v>
      </c>
      <c r="C345" s="66">
        <v>4832.2700000000004</v>
      </c>
      <c r="D345" s="66">
        <v>-0.23</v>
      </c>
      <c r="E345" s="70">
        <v>0.22</v>
      </c>
      <c r="F345" s="66">
        <v>1.18</v>
      </c>
      <c r="G345" s="66">
        <v>1.18</v>
      </c>
      <c r="H345" s="67">
        <v>3</v>
      </c>
      <c r="J345">
        <f t="shared" si="48"/>
        <v>2017</v>
      </c>
      <c r="K345">
        <v>6</v>
      </c>
      <c r="L345" s="107">
        <f t="shared" si="46"/>
        <v>42887</v>
      </c>
    </row>
    <row r="346" spans="1:12" x14ac:dyDescent="0.2">
      <c r="A346" s="85"/>
      <c r="B346" s="77" t="s">
        <v>366</v>
      </c>
      <c r="C346" s="66">
        <v>4843.87</v>
      </c>
      <c r="D346" s="66">
        <v>0.24</v>
      </c>
      <c r="E346" s="70">
        <v>0.32</v>
      </c>
      <c r="F346" s="66">
        <v>1.04</v>
      </c>
      <c r="G346" s="66">
        <v>1.43</v>
      </c>
      <c r="H346" s="67">
        <v>2.71</v>
      </c>
      <c r="J346">
        <f t="shared" si="48"/>
        <v>2017</v>
      </c>
      <c r="K346">
        <v>7</v>
      </c>
      <c r="L346" s="107">
        <f t="shared" si="46"/>
        <v>42917</v>
      </c>
    </row>
    <row r="347" spans="1:12" x14ac:dyDescent="0.2">
      <c r="A347" s="85"/>
      <c r="B347" s="91" t="s">
        <v>367</v>
      </c>
      <c r="C347" s="92">
        <v>4853.07</v>
      </c>
      <c r="D347" s="92">
        <v>0.19</v>
      </c>
      <c r="E347" s="92">
        <v>0.2</v>
      </c>
      <c r="F347" s="92">
        <v>0.9</v>
      </c>
      <c r="G347" s="92">
        <v>1.62</v>
      </c>
      <c r="H347" s="93">
        <v>2.46</v>
      </c>
      <c r="J347">
        <f t="shared" si="48"/>
        <v>2017</v>
      </c>
      <c r="K347">
        <v>8</v>
      </c>
      <c r="L347" s="107">
        <f t="shared" si="46"/>
        <v>42948</v>
      </c>
    </row>
    <row r="348" spans="1:12" x14ac:dyDescent="0.2">
      <c r="A348" s="85"/>
      <c r="B348" s="91" t="s">
        <v>368</v>
      </c>
      <c r="C348" s="92">
        <v>4860.83</v>
      </c>
      <c r="D348" s="92">
        <v>0.16</v>
      </c>
      <c r="E348" s="92">
        <v>0.59</v>
      </c>
      <c r="F348" s="92">
        <v>0.81</v>
      </c>
      <c r="G348" s="92">
        <v>1.78</v>
      </c>
      <c r="H348" s="93">
        <v>2.54</v>
      </c>
      <c r="J348">
        <f t="shared" si="48"/>
        <v>2017</v>
      </c>
      <c r="K348">
        <v>9</v>
      </c>
      <c r="L348" s="107">
        <f t="shared" si="46"/>
        <v>42979</v>
      </c>
    </row>
    <row r="349" spans="1:12" x14ac:dyDescent="0.2">
      <c r="A349" s="94"/>
      <c r="B349" s="91" t="s">
        <v>369</v>
      </c>
      <c r="C349" s="92">
        <v>4881.25</v>
      </c>
      <c r="D349" s="92">
        <v>0.42</v>
      </c>
      <c r="E349" s="92">
        <v>0.77</v>
      </c>
      <c r="F349" s="92">
        <v>1.0900000000000001</v>
      </c>
      <c r="G349" s="92">
        <v>2.21</v>
      </c>
      <c r="H349" s="93">
        <v>2.7</v>
      </c>
      <c r="J349">
        <f t="shared" si="48"/>
        <v>2017</v>
      </c>
      <c r="K349">
        <v>10</v>
      </c>
      <c r="L349" s="107">
        <f t="shared" si="46"/>
        <v>43009</v>
      </c>
    </row>
    <row r="350" spans="1:12" x14ac:dyDescent="0.2">
      <c r="A350" s="94"/>
      <c r="B350" s="91" t="s">
        <v>370</v>
      </c>
      <c r="C350" s="92">
        <v>4894.92</v>
      </c>
      <c r="D350" s="92">
        <v>0.28000000000000003</v>
      </c>
      <c r="E350" s="92">
        <v>0.86</v>
      </c>
      <c r="F350" s="92">
        <v>1.06</v>
      </c>
      <c r="G350" s="92">
        <v>2.5</v>
      </c>
      <c r="H350" s="93">
        <v>2.8</v>
      </c>
      <c r="J350">
        <f t="shared" si="48"/>
        <v>2017</v>
      </c>
      <c r="K350">
        <v>11</v>
      </c>
      <c r="L350" s="107">
        <f t="shared" si="46"/>
        <v>43040</v>
      </c>
    </row>
    <row r="351" spans="1:12" x14ac:dyDescent="0.2">
      <c r="A351" s="94"/>
      <c r="B351" s="91" t="s">
        <v>371</v>
      </c>
      <c r="C351" s="92">
        <v>4916.46</v>
      </c>
      <c r="D351" s="92">
        <v>0.44</v>
      </c>
      <c r="E351" s="92">
        <v>1.1399999999999999</v>
      </c>
      <c r="F351" s="92">
        <v>1.74</v>
      </c>
      <c r="G351" s="92">
        <v>2.95</v>
      </c>
      <c r="H351" s="93">
        <v>2.95</v>
      </c>
      <c r="J351">
        <f t="shared" si="48"/>
        <v>2017</v>
      </c>
      <c r="K351">
        <v>12</v>
      </c>
      <c r="L351" s="107">
        <f t="shared" si="46"/>
        <v>43070</v>
      </c>
    </row>
    <row r="352" spans="1:12" x14ac:dyDescent="0.2">
      <c r="A352" s="94"/>
      <c r="B352" s="91"/>
      <c r="C352" s="92"/>
      <c r="D352" s="92"/>
      <c r="E352" s="92"/>
      <c r="F352" s="92"/>
      <c r="G352" s="92"/>
      <c r="H352" s="93"/>
      <c r="L352" s="107" t="e">
        <f t="shared" si="46"/>
        <v>#NUM!</v>
      </c>
    </row>
    <row r="353" spans="1:12" x14ac:dyDescent="0.2">
      <c r="A353" s="54">
        <v>2018</v>
      </c>
      <c r="B353" s="95" t="s">
        <v>360</v>
      </c>
      <c r="C353" s="92">
        <v>4930.72</v>
      </c>
      <c r="D353" s="92">
        <v>0.28999999999999998</v>
      </c>
      <c r="E353" s="92">
        <v>1.01</v>
      </c>
      <c r="F353" s="92">
        <v>1.79</v>
      </c>
      <c r="G353" s="92">
        <v>0.28999999999999998</v>
      </c>
      <c r="H353" s="93">
        <v>2.86</v>
      </c>
      <c r="J353">
        <f t="shared" ref="J353" si="49">A353</f>
        <v>2018</v>
      </c>
      <c r="K353">
        <v>1</v>
      </c>
      <c r="L353" s="107">
        <f t="shared" si="46"/>
        <v>43101</v>
      </c>
    </row>
    <row r="354" spans="1:12" x14ac:dyDescent="0.2">
      <c r="A354" s="54"/>
      <c r="B354" s="95" t="s">
        <v>361</v>
      </c>
      <c r="C354" s="92">
        <v>4946.5</v>
      </c>
      <c r="D354" s="92">
        <v>0.32</v>
      </c>
      <c r="E354" s="92">
        <v>1.05</v>
      </c>
      <c r="F354" s="92">
        <v>1.93</v>
      </c>
      <c r="G354" s="92">
        <v>0.61</v>
      </c>
      <c r="H354" s="93">
        <v>2.84</v>
      </c>
      <c r="J354">
        <f t="shared" ref="J354:J364" si="50">J353</f>
        <v>2018</v>
      </c>
      <c r="K354">
        <v>2</v>
      </c>
      <c r="L354" s="107">
        <f t="shared" si="46"/>
        <v>43132</v>
      </c>
    </row>
    <row r="355" spans="1:12" x14ac:dyDescent="0.2">
      <c r="A355" s="54"/>
      <c r="B355" s="95" t="s">
        <v>362</v>
      </c>
      <c r="C355" s="92">
        <v>4950.95</v>
      </c>
      <c r="D355" s="92">
        <v>0.09</v>
      </c>
      <c r="E355" s="92">
        <v>0.7</v>
      </c>
      <c r="F355" s="92">
        <v>1.85</v>
      </c>
      <c r="G355" s="92">
        <v>0.7</v>
      </c>
      <c r="H355" s="93">
        <v>2.68</v>
      </c>
      <c r="J355">
        <f t="shared" si="50"/>
        <v>2018</v>
      </c>
      <c r="K355">
        <v>3</v>
      </c>
      <c r="L355" s="107">
        <f t="shared" si="46"/>
        <v>43160</v>
      </c>
    </row>
    <row r="356" spans="1:12" x14ac:dyDescent="0.2">
      <c r="A356" s="96"/>
      <c r="B356" s="75" t="s">
        <v>363</v>
      </c>
      <c r="C356" s="92">
        <v>4961.84</v>
      </c>
      <c r="D356" s="92">
        <v>0.22</v>
      </c>
      <c r="E356" s="92">
        <v>0.63</v>
      </c>
      <c r="F356" s="92">
        <v>1.65</v>
      </c>
      <c r="G356" s="92">
        <v>0.92</v>
      </c>
      <c r="H356" s="93">
        <v>2.76</v>
      </c>
      <c r="J356">
        <f t="shared" si="50"/>
        <v>2018</v>
      </c>
      <c r="K356">
        <v>4</v>
      </c>
      <c r="L356" s="107">
        <f t="shared" si="46"/>
        <v>43191</v>
      </c>
    </row>
    <row r="357" spans="1:12" x14ac:dyDescent="0.2">
      <c r="A357" s="54"/>
      <c r="B357" s="95" t="s">
        <v>364</v>
      </c>
      <c r="C357" s="92">
        <v>4981.6899999999996</v>
      </c>
      <c r="D357" s="92">
        <v>0.4</v>
      </c>
      <c r="E357" s="92">
        <v>0.71</v>
      </c>
      <c r="F357" s="92">
        <v>1.77</v>
      </c>
      <c r="G357" s="92">
        <v>1.33</v>
      </c>
      <c r="H357" s="93">
        <v>2.86</v>
      </c>
      <c r="J357">
        <f t="shared" si="50"/>
        <v>2018</v>
      </c>
      <c r="K357">
        <v>5</v>
      </c>
      <c r="L357" s="107">
        <f t="shared" si="46"/>
        <v>43221</v>
      </c>
    </row>
    <row r="358" spans="1:12" x14ac:dyDescent="0.2">
      <c r="A358" s="54"/>
      <c r="B358" s="95" t="s">
        <v>365</v>
      </c>
      <c r="C358" s="92">
        <v>5044.46</v>
      </c>
      <c r="D358" s="92">
        <v>1.26</v>
      </c>
      <c r="E358" s="92">
        <v>1.89</v>
      </c>
      <c r="F358" s="92">
        <v>2.6</v>
      </c>
      <c r="G358" s="92">
        <v>2.6</v>
      </c>
      <c r="H358" s="93">
        <v>4.3899999999999997</v>
      </c>
      <c r="J358">
        <f t="shared" si="50"/>
        <v>2018</v>
      </c>
      <c r="K358">
        <v>6</v>
      </c>
      <c r="L358" s="107">
        <f t="shared" si="46"/>
        <v>43252</v>
      </c>
    </row>
    <row r="359" spans="1:12" x14ac:dyDescent="0.2">
      <c r="A359" s="96"/>
      <c r="B359" s="75" t="s">
        <v>366</v>
      </c>
      <c r="C359" s="92">
        <v>5061.1099999999997</v>
      </c>
      <c r="D359" s="92">
        <v>0.33</v>
      </c>
      <c r="E359" s="92">
        <v>2</v>
      </c>
      <c r="F359" s="92">
        <v>2.64</v>
      </c>
      <c r="G359" s="92">
        <v>2.94</v>
      </c>
      <c r="H359" s="93">
        <v>4.4800000000000004</v>
      </c>
      <c r="J359">
        <f t="shared" si="50"/>
        <v>2018</v>
      </c>
      <c r="K359">
        <v>7</v>
      </c>
      <c r="L359" s="107">
        <f t="shared" si="46"/>
        <v>43282</v>
      </c>
    </row>
    <row r="360" spans="1:12" x14ac:dyDescent="0.2">
      <c r="A360" s="96"/>
      <c r="B360" s="75" t="s">
        <v>367</v>
      </c>
      <c r="C360" s="92">
        <v>5056.5600000000004</v>
      </c>
      <c r="D360" s="92">
        <v>-0.09</v>
      </c>
      <c r="E360" s="92">
        <v>1.5</v>
      </c>
      <c r="F360" s="92">
        <v>2.23</v>
      </c>
      <c r="G360" s="92">
        <v>2.85</v>
      </c>
      <c r="H360" s="93">
        <v>4.1900000000000004</v>
      </c>
      <c r="J360">
        <f t="shared" si="50"/>
        <v>2018</v>
      </c>
      <c r="K360">
        <v>8</v>
      </c>
      <c r="L360" s="107">
        <f t="shared" si="46"/>
        <v>43313</v>
      </c>
    </row>
    <row r="361" spans="1:12" x14ac:dyDescent="0.2">
      <c r="A361" s="96"/>
      <c r="B361" s="75" t="s">
        <v>368</v>
      </c>
      <c r="C361" s="92">
        <v>5080.83</v>
      </c>
      <c r="D361" s="92">
        <v>0.48</v>
      </c>
      <c r="E361" s="92">
        <v>0.72</v>
      </c>
      <c r="F361" s="92">
        <v>2.62</v>
      </c>
      <c r="G361" s="92">
        <v>3.34</v>
      </c>
      <c r="H361" s="93">
        <v>4.53</v>
      </c>
      <c r="J361">
        <f t="shared" si="50"/>
        <v>2018</v>
      </c>
      <c r="K361">
        <v>9</v>
      </c>
      <c r="L361" s="107">
        <f t="shared" si="46"/>
        <v>43344</v>
      </c>
    </row>
    <row r="362" spans="1:12" x14ac:dyDescent="0.2">
      <c r="A362" s="96"/>
      <c r="B362" s="75" t="s">
        <v>369</v>
      </c>
      <c r="C362" s="92">
        <v>5103.6899999999996</v>
      </c>
      <c r="D362" s="92">
        <v>0.45</v>
      </c>
      <c r="E362" s="92">
        <v>0.84</v>
      </c>
      <c r="F362" s="92">
        <v>2.86</v>
      </c>
      <c r="G362" s="92">
        <v>3.81</v>
      </c>
      <c r="H362" s="93">
        <v>4.5599999999999996</v>
      </c>
      <c r="J362">
        <f t="shared" si="50"/>
        <v>2018</v>
      </c>
      <c r="K362">
        <v>10</v>
      </c>
      <c r="L362" s="107">
        <f t="shared" si="46"/>
        <v>43374</v>
      </c>
    </row>
    <row r="363" spans="1:12" x14ac:dyDescent="0.2">
      <c r="A363" s="96"/>
      <c r="B363" s="75" t="s">
        <v>370</v>
      </c>
      <c r="C363" s="92">
        <v>5092.97</v>
      </c>
      <c r="D363" s="92">
        <v>-0.21</v>
      </c>
      <c r="E363" s="92">
        <v>0.72</v>
      </c>
      <c r="F363" s="92">
        <v>2.23</v>
      </c>
      <c r="G363" s="92">
        <v>3.59</v>
      </c>
      <c r="H363" s="93">
        <v>4.05</v>
      </c>
      <c r="J363">
        <f t="shared" si="50"/>
        <v>2018</v>
      </c>
      <c r="K363">
        <v>11</v>
      </c>
      <c r="L363" s="107">
        <f t="shared" si="46"/>
        <v>43405</v>
      </c>
    </row>
    <row r="364" spans="1:12" ht="15" thickBot="1" x14ac:dyDescent="0.25">
      <c r="A364" s="97"/>
      <c r="B364" s="98" t="s">
        <v>371</v>
      </c>
      <c r="C364" s="99">
        <v>5100.6099999999997</v>
      </c>
      <c r="D364" s="99">
        <v>0.15</v>
      </c>
      <c r="E364" s="99">
        <v>0.39</v>
      </c>
      <c r="F364" s="99">
        <v>1.1100000000000001</v>
      </c>
      <c r="G364" s="99">
        <v>3.75</v>
      </c>
      <c r="H364" s="100">
        <v>3.75</v>
      </c>
      <c r="J364">
        <f t="shared" si="50"/>
        <v>2018</v>
      </c>
      <c r="K364">
        <v>12</v>
      </c>
      <c r="L364" s="107">
        <f t="shared" si="46"/>
        <v>43435</v>
      </c>
    </row>
    <row r="365" spans="1:12" ht="15" thickTop="1" x14ac:dyDescent="0.2">
      <c r="A365" s="54"/>
      <c r="B365" s="75"/>
      <c r="C365" s="76"/>
      <c r="D365" s="76"/>
      <c r="E365" s="76"/>
      <c r="F365" s="76"/>
      <c r="G365" s="76"/>
      <c r="H365" s="67"/>
      <c r="L365" s="107" t="e">
        <f t="shared" si="46"/>
        <v>#NUM!</v>
      </c>
    </row>
    <row r="366" spans="1:12" x14ac:dyDescent="0.2">
      <c r="A366" s="54"/>
      <c r="B366" s="75"/>
      <c r="C366" s="76"/>
      <c r="D366" s="76"/>
      <c r="E366" s="76"/>
      <c r="F366" s="76"/>
      <c r="G366" s="76"/>
      <c r="H366" s="67"/>
      <c r="L366" s="107" t="e">
        <f t="shared" si="46"/>
        <v>#NUM!</v>
      </c>
    </row>
    <row r="367" spans="1:12" ht="17" x14ac:dyDescent="0.25">
      <c r="A367" s="105" t="s">
        <v>350</v>
      </c>
      <c r="B367" s="105"/>
      <c r="C367" s="105"/>
      <c r="D367" s="105"/>
      <c r="E367" s="105"/>
      <c r="F367" s="105"/>
      <c r="G367" s="105"/>
      <c r="H367" s="105"/>
      <c r="L367" s="107" t="e">
        <f t="shared" si="46"/>
        <v>#NUM!</v>
      </c>
    </row>
    <row r="368" spans="1:12" ht="15" thickBot="1" x14ac:dyDescent="0.25">
      <c r="A368" s="33"/>
      <c r="B368" s="33"/>
      <c r="C368" s="34"/>
      <c r="D368" s="33"/>
      <c r="E368" s="33"/>
      <c r="F368" s="33"/>
      <c r="G368" s="33"/>
      <c r="H368" s="35" t="s">
        <v>373</v>
      </c>
      <c r="L368" s="107" t="e">
        <f t="shared" si="46"/>
        <v>#NUM!</v>
      </c>
    </row>
    <row r="369" spans="1:12" ht="15" thickTop="1" x14ac:dyDescent="0.2">
      <c r="A369" s="36"/>
      <c r="B369" s="36"/>
      <c r="C369" s="37"/>
      <c r="D369" s="38"/>
      <c r="E369" s="39"/>
      <c r="F369" s="39" t="s">
        <v>352</v>
      </c>
      <c r="G369" s="39"/>
      <c r="H369" s="40"/>
      <c r="L369" s="107" t="e">
        <f t="shared" si="46"/>
        <v>#NUM!</v>
      </c>
    </row>
    <row r="370" spans="1:12" x14ac:dyDescent="0.2">
      <c r="A370" s="41" t="s">
        <v>353</v>
      </c>
      <c r="B370" s="42" t="s">
        <v>354</v>
      </c>
      <c r="C370" s="43" t="s">
        <v>355</v>
      </c>
      <c r="D370" s="103" t="s">
        <v>356</v>
      </c>
      <c r="E370" s="104"/>
      <c r="F370" s="104"/>
      <c r="G370" s="104"/>
      <c r="H370" s="104"/>
      <c r="L370" s="107" t="e">
        <f t="shared" si="46"/>
        <v>#NUM!</v>
      </c>
    </row>
    <row r="371" spans="1:12" x14ac:dyDescent="0.2">
      <c r="A371" s="41"/>
      <c r="B371" s="42"/>
      <c r="C371" s="44" t="s">
        <v>357</v>
      </c>
      <c r="D371" s="45" t="s">
        <v>358</v>
      </c>
      <c r="E371" s="45">
        <v>3</v>
      </c>
      <c r="F371" s="45">
        <v>6</v>
      </c>
      <c r="G371" s="45" t="s">
        <v>358</v>
      </c>
      <c r="H371" s="46">
        <v>12</v>
      </c>
      <c r="L371" s="107" t="e">
        <f t="shared" si="46"/>
        <v>#NUM!</v>
      </c>
    </row>
    <row r="372" spans="1:12" ht="15" thickBot="1" x14ac:dyDescent="0.25">
      <c r="A372" s="47"/>
      <c r="B372" s="47"/>
      <c r="C372" s="48"/>
      <c r="D372" s="49" t="s">
        <v>354</v>
      </c>
      <c r="E372" s="50" t="s">
        <v>359</v>
      </c>
      <c r="F372" s="50" t="s">
        <v>359</v>
      </c>
      <c r="G372" s="50" t="s">
        <v>353</v>
      </c>
      <c r="H372" s="51" t="s">
        <v>359</v>
      </c>
      <c r="L372" s="107" t="e">
        <f t="shared" si="46"/>
        <v>#NUM!</v>
      </c>
    </row>
    <row r="373" spans="1:12" x14ac:dyDescent="0.2">
      <c r="A373" s="96"/>
      <c r="B373" s="75"/>
      <c r="C373" s="92"/>
      <c r="D373" s="92"/>
      <c r="E373" s="92"/>
      <c r="F373" s="92"/>
      <c r="G373" s="92"/>
      <c r="H373" s="93"/>
      <c r="L373" s="107" t="e">
        <f t="shared" si="46"/>
        <v>#NUM!</v>
      </c>
    </row>
    <row r="374" spans="1:12" x14ac:dyDescent="0.2">
      <c r="A374" s="96">
        <v>2019</v>
      </c>
      <c r="B374" s="75" t="s">
        <v>360</v>
      </c>
      <c r="C374" s="92">
        <v>5116.93</v>
      </c>
      <c r="D374" s="92">
        <v>0.32</v>
      </c>
      <c r="E374" s="92">
        <v>0.26</v>
      </c>
      <c r="F374" s="92">
        <v>1.1000000000000001</v>
      </c>
      <c r="G374" s="92">
        <v>0.32</v>
      </c>
      <c r="H374" s="93">
        <v>3.78</v>
      </c>
      <c r="J374">
        <f>A374</f>
        <v>2019</v>
      </c>
      <c r="K374">
        <v>1</v>
      </c>
      <c r="L374" s="107">
        <f t="shared" si="46"/>
        <v>43466</v>
      </c>
    </row>
    <row r="375" spans="1:12" x14ac:dyDescent="0.2">
      <c r="A375" s="96"/>
      <c r="B375" s="75" t="s">
        <v>361</v>
      </c>
      <c r="C375" s="92">
        <v>5138.93</v>
      </c>
      <c r="D375" s="92">
        <v>0.43</v>
      </c>
      <c r="E375" s="92">
        <v>0.9</v>
      </c>
      <c r="F375" s="92">
        <v>1.63</v>
      </c>
      <c r="G375" s="92">
        <v>0.75</v>
      </c>
      <c r="H375" s="93">
        <v>3.89</v>
      </c>
      <c r="J375">
        <f>J374</f>
        <v>2019</v>
      </c>
      <c r="K375">
        <v>2</v>
      </c>
      <c r="L375" s="107">
        <f t="shared" si="46"/>
        <v>43497</v>
      </c>
    </row>
    <row r="376" spans="1:12" x14ac:dyDescent="0.2">
      <c r="A376" s="54"/>
      <c r="B376" s="95" t="s">
        <v>362</v>
      </c>
      <c r="C376" s="92">
        <v>5177.47</v>
      </c>
      <c r="D376" s="92">
        <v>0.75</v>
      </c>
      <c r="E376" s="92">
        <v>1.51</v>
      </c>
      <c r="F376" s="92">
        <v>1.9</v>
      </c>
      <c r="G376" s="92">
        <v>1.51</v>
      </c>
      <c r="H376" s="93">
        <v>4.58</v>
      </c>
      <c r="J376">
        <f t="shared" ref="J376:J385" si="51">J375</f>
        <v>2019</v>
      </c>
      <c r="K376">
        <v>3</v>
      </c>
      <c r="L376" s="107">
        <f t="shared" si="46"/>
        <v>43525</v>
      </c>
    </row>
    <row r="377" spans="1:12" x14ac:dyDescent="0.2">
      <c r="A377" s="54"/>
      <c r="B377" s="95" t="s">
        <v>363</v>
      </c>
      <c r="C377" s="92">
        <v>5206.9799999999996</v>
      </c>
      <c r="D377" s="92">
        <v>0.56999999999999995</v>
      </c>
      <c r="E377" s="92">
        <v>1.76</v>
      </c>
      <c r="F377" s="92">
        <v>2.02</v>
      </c>
      <c r="G377" s="92">
        <v>2.09</v>
      </c>
      <c r="H377" s="93">
        <v>4.9400000000000004</v>
      </c>
      <c r="J377">
        <f t="shared" si="51"/>
        <v>2019</v>
      </c>
      <c r="K377">
        <v>4</v>
      </c>
      <c r="L377" s="107">
        <f t="shared" si="46"/>
        <v>43556</v>
      </c>
    </row>
    <row r="378" spans="1:12" x14ac:dyDescent="0.2">
      <c r="A378" s="54"/>
      <c r="B378" s="95" t="s">
        <v>364</v>
      </c>
      <c r="C378" s="92">
        <v>5213.75</v>
      </c>
      <c r="D378" s="92">
        <v>0.13</v>
      </c>
      <c r="E378" s="92">
        <v>1.46</v>
      </c>
      <c r="F378" s="92">
        <v>2.37</v>
      </c>
      <c r="G378" s="92">
        <v>2.2200000000000002</v>
      </c>
      <c r="H378" s="92">
        <v>4.66</v>
      </c>
      <c r="J378">
        <f t="shared" si="51"/>
        <v>2019</v>
      </c>
      <c r="K378">
        <v>5</v>
      </c>
      <c r="L378" s="107">
        <f t="shared" si="46"/>
        <v>43586</v>
      </c>
    </row>
    <row r="379" spans="1:12" x14ac:dyDescent="0.2">
      <c r="A379" s="54"/>
      <c r="B379" s="95" t="s">
        <v>365</v>
      </c>
      <c r="C379" s="92">
        <v>5214.2700000000004</v>
      </c>
      <c r="D379" s="92">
        <v>0.01</v>
      </c>
      <c r="E379" s="92">
        <v>0.71</v>
      </c>
      <c r="F379" s="92">
        <v>2.23</v>
      </c>
      <c r="G379" s="92">
        <v>2.23</v>
      </c>
      <c r="H379" s="92">
        <v>3.37</v>
      </c>
      <c r="J379">
        <f t="shared" si="51"/>
        <v>2019</v>
      </c>
      <c r="K379">
        <v>6</v>
      </c>
      <c r="L379" s="107">
        <f t="shared" si="46"/>
        <v>43617</v>
      </c>
    </row>
    <row r="380" spans="1:12" x14ac:dyDescent="0.2">
      <c r="A380" s="54"/>
      <c r="B380" s="95" t="s">
        <v>366</v>
      </c>
      <c r="C380" s="92">
        <v>5224.18</v>
      </c>
      <c r="D380" s="92">
        <v>0.19</v>
      </c>
      <c r="E380" s="92">
        <v>0.33</v>
      </c>
      <c r="F380" s="92">
        <v>2.1</v>
      </c>
      <c r="G380" s="92">
        <v>2.42</v>
      </c>
      <c r="H380" s="92">
        <v>3.22</v>
      </c>
      <c r="J380">
        <f t="shared" si="51"/>
        <v>2019</v>
      </c>
      <c r="K380">
        <v>7</v>
      </c>
      <c r="L380" s="107">
        <f t="shared" si="46"/>
        <v>43647</v>
      </c>
    </row>
    <row r="381" spans="1:12" x14ac:dyDescent="0.2">
      <c r="A381" s="54"/>
      <c r="B381" s="95" t="s">
        <v>367</v>
      </c>
      <c r="C381" s="92">
        <v>5229.93</v>
      </c>
      <c r="D381" s="92">
        <v>0.11</v>
      </c>
      <c r="E381" s="92">
        <v>0.31</v>
      </c>
      <c r="F381" s="92">
        <v>1.77</v>
      </c>
      <c r="G381" s="92">
        <v>2.54</v>
      </c>
      <c r="H381" s="92">
        <v>3.43</v>
      </c>
      <c r="J381">
        <f t="shared" si="51"/>
        <v>2019</v>
      </c>
      <c r="K381">
        <v>8</v>
      </c>
      <c r="L381" s="107">
        <f t="shared" si="46"/>
        <v>43678</v>
      </c>
    </row>
    <row r="382" spans="1:12" x14ac:dyDescent="0.2">
      <c r="A382" s="54"/>
      <c r="B382" s="95" t="s">
        <v>368</v>
      </c>
      <c r="C382" s="92">
        <v>5227.84</v>
      </c>
      <c r="D382" s="92">
        <v>-0.04</v>
      </c>
      <c r="E382" s="92">
        <v>0.26</v>
      </c>
      <c r="F382" s="92">
        <v>0.97</v>
      </c>
      <c r="G382" s="92">
        <v>2.4900000000000002</v>
      </c>
      <c r="H382" s="92">
        <v>2.89</v>
      </c>
      <c r="J382">
        <f t="shared" si="51"/>
        <v>2019</v>
      </c>
      <c r="K382">
        <v>9</v>
      </c>
      <c r="L382" s="107">
        <f t="shared" si="46"/>
        <v>43709</v>
      </c>
    </row>
    <row r="383" spans="1:12" x14ac:dyDescent="0.2">
      <c r="A383" s="54"/>
      <c r="B383" s="95" t="s">
        <v>369</v>
      </c>
      <c r="C383" s="92">
        <v>5233.07</v>
      </c>
      <c r="D383" s="92">
        <v>0.1</v>
      </c>
      <c r="E383" s="92">
        <v>0.17</v>
      </c>
      <c r="F383" s="92">
        <v>0.5</v>
      </c>
      <c r="G383" s="92">
        <v>2.6</v>
      </c>
      <c r="H383" s="92">
        <v>2.54</v>
      </c>
      <c r="J383">
        <f t="shared" si="51"/>
        <v>2019</v>
      </c>
      <c r="K383">
        <v>10</v>
      </c>
      <c r="L383" s="107">
        <f t="shared" si="46"/>
        <v>43739</v>
      </c>
    </row>
    <row r="384" spans="1:12" x14ac:dyDescent="0.2">
      <c r="A384" s="54"/>
      <c r="B384" s="95" t="s">
        <v>370</v>
      </c>
      <c r="C384" s="92">
        <v>5259.76</v>
      </c>
      <c r="D384" s="92">
        <v>0.51</v>
      </c>
      <c r="E384" s="92">
        <v>0.56999999999999995</v>
      </c>
      <c r="F384" s="92">
        <v>0.88</v>
      </c>
      <c r="G384" s="92">
        <v>3.12</v>
      </c>
      <c r="H384" s="92">
        <v>3.27</v>
      </c>
      <c r="J384">
        <f t="shared" si="51"/>
        <v>2019</v>
      </c>
      <c r="K384">
        <v>11</v>
      </c>
      <c r="L384" s="107">
        <f t="shared" si="46"/>
        <v>43770</v>
      </c>
    </row>
    <row r="385" spans="1:12" x14ac:dyDescent="0.2">
      <c r="A385" s="54"/>
      <c r="B385" s="95" t="s">
        <v>371</v>
      </c>
      <c r="C385" s="92">
        <v>5320.25</v>
      </c>
      <c r="D385" s="92">
        <v>1.1499999999999999</v>
      </c>
      <c r="E385" s="92">
        <v>1.77</v>
      </c>
      <c r="F385" s="92">
        <v>2.0299999999999998</v>
      </c>
      <c r="G385" s="92">
        <v>4.3099999999999996</v>
      </c>
      <c r="H385" s="92">
        <v>4.3099999999999996</v>
      </c>
      <c r="J385">
        <f t="shared" si="51"/>
        <v>2019</v>
      </c>
      <c r="K385">
        <v>12</v>
      </c>
      <c r="L385" s="107">
        <f t="shared" si="46"/>
        <v>43800</v>
      </c>
    </row>
    <row r="386" spans="1:12" x14ac:dyDescent="0.2">
      <c r="A386" s="54"/>
      <c r="B386" s="95"/>
      <c r="C386" s="92"/>
      <c r="D386" s="92"/>
      <c r="E386" s="92"/>
      <c r="F386" s="92"/>
      <c r="G386" s="92"/>
      <c r="H386" s="92"/>
      <c r="L386" s="107" t="e">
        <f t="shared" si="46"/>
        <v>#NUM!</v>
      </c>
    </row>
    <row r="387" spans="1:12" x14ac:dyDescent="0.2">
      <c r="A387" s="96">
        <v>2020</v>
      </c>
      <c r="B387" s="75" t="s">
        <v>360</v>
      </c>
      <c r="C387" s="92">
        <v>5331.42</v>
      </c>
      <c r="D387" s="92">
        <v>0.21</v>
      </c>
      <c r="E387" s="92">
        <v>1.88</v>
      </c>
      <c r="F387" s="92">
        <v>2.0499999999999998</v>
      </c>
      <c r="G387" s="92">
        <v>0.21</v>
      </c>
      <c r="H387" s="92">
        <v>4.1900000000000004</v>
      </c>
      <c r="J387">
        <f t="shared" ref="J387" si="52">A387</f>
        <v>2020</v>
      </c>
      <c r="K387">
        <v>1</v>
      </c>
      <c r="L387" s="107">
        <f t="shared" si="46"/>
        <v>43831</v>
      </c>
    </row>
    <row r="388" spans="1:12" x14ac:dyDescent="0.2">
      <c r="A388" s="54"/>
      <c r="B388" s="95" t="s">
        <v>361</v>
      </c>
      <c r="C388" s="92">
        <v>5344.75</v>
      </c>
      <c r="D388" s="92">
        <v>0.25</v>
      </c>
      <c r="E388" s="92">
        <v>1.62</v>
      </c>
      <c r="F388" s="92">
        <v>2.2000000000000002</v>
      </c>
      <c r="G388" s="92">
        <v>0.46</v>
      </c>
      <c r="H388" s="92">
        <v>4.01</v>
      </c>
      <c r="J388">
        <f t="shared" ref="J388:J398" si="53">J387</f>
        <v>2020</v>
      </c>
      <c r="K388">
        <v>2</v>
      </c>
      <c r="L388" s="107">
        <f t="shared" si="46"/>
        <v>43862</v>
      </c>
    </row>
    <row r="389" spans="1:12" x14ac:dyDescent="0.2">
      <c r="A389" s="54"/>
      <c r="B389" s="95" t="s">
        <v>362</v>
      </c>
      <c r="C389" s="92">
        <v>5348.49</v>
      </c>
      <c r="D389" s="92">
        <v>7.0000000000000007E-2</v>
      </c>
      <c r="E389" s="92">
        <v>0.53</v>
      </c>
      <c r="F389" s="92">
        <v>2.31</v>
      </c>
      <c r="G389" s="92">
        <v>0.53</v>
      </c>
      <c r="H389" s="92">
        <v>3.3</v>
      </c>
      <c r="J389">
        <f t="shared" si="53"/>
        <v>2020</v>
      </c>
      <c r="K389">
        <v>3</v>
      </c>
      <c r="L389" s="107">
        <f t="shared" si="46"/>
        <v>43891</v>
      </c>
    </row>
    <row r="390" spans="1:12" x14ac:dyDescent="0.2">
      <c r="A390" s="54"/>
      <c r="B390" s="95" t="s">
        <v>363</v>
      </c>
      <c r="C390" s="92">
        <v>5331.91</v>
      </c>
      <c r="D390" s="92">
        <v>-0.31</v>
      </c>
      <c r="E390" s="92">
        <v>0.01</v>
      </c>
      <c r="F390" s="92">
        <v>1.89</v>
      </c>
      <c r="G390" s="92">
        <v>0.22</v>
      </c>
      <c r="H390" s="92">
        <v>2.4</v>
      </c>
      <c r="J390">
        <f t="shared" si="53"/>
        <v>2020</v>
      </c>
      <c r="K390">
        <v>4</v>
      </c>
      <c r="L390" s="107">
        <f t="shared" si="46"/>
        <v>43922</v>
      </c>
    </row>
    <row r="391" spans="1:12" x14ac:dyDescent="0.2">
      <c r="A391" s="96"/>
      <c r="B391" s="75" t="s">
        <v>364</v>
      </c>
      <c r="C391" s="92">
        <v>5311.65</v>
      </c>
      <c r="D391" s="92">
        <v>-0.38</v>
      </c>
      <c r="E391" s="92">
        <v>-0.62</v>
      </c>
      <c r="F391" s="92">
        <v>0.99</v>
      </c>
      <c r="G391" s="92">
        <v>-0.16</v>
      </c>
      <c r="H391" s="92">
        <v>1.88</v>
      </c>
      <c r="J391">
        <f t="shared" si="53"/>
        <v>2020</v>
      </c>
      <c r="K391">
        <v>5</v>
      </c>
      <c r="L391" s="107">
        <f t="shared" si="46"/>
        <v>43952</v>
      </c>
    </row>
    <row r="392" spans="1:12" x14ac:dyDescent="0.2">
      <c r="A392" s="54"/>
      <c r="B392" s="95" t="s">
        <v>365</v>
      </c>
      <c r="C392" s="92">
        <v>5325.46</v>
      </c>
      <c r="D392" s="92">
        <v>0.26</v>
      </c>
      <c r="E392" s="92">
        <v>-0.43</v>
      </c>
      <c r="F392" s="92">
        <v>0.1</v>
      </c>
      <c r="G392" s="92">
        <v>0.1</v>
      </c>
      <c r="H392" s="92">
        <v>2.13</v>
      </c>
      <c r="J392">
        <f t="shared" si="53"/>
        <v>2020</v>
      </c>
      <c r="K392">
        <v>6</v>
      </c>
      <c r="L392" s="107">
        <f t="shared" si="46"/>
        <v>43983</v>
      </c>
    </row>
    <row r="393" spans="1:12" x14ac:dyDescent="0.2">
      <c r="A393" s="54"/>
      <c r="B393" s="95" t="s">
        <v>366</v>
      </c>
      <c r="C393" s="92">
        <v>5344.63</v>
      </c>
      <c r="D393" s="92">
        <v>0.36</v>
      </c>
      <c r="E393" s="92">
        <v>0.24</v>
      </c>
      <c r="F393" s="92">
        <v>0.25</v>
      </c>
      <c r="G393" s="92">
        <v>0.46</v>
      </c>
      <c r="H393" s="92">
        <v>2.31</v>
      </c>
      <c r="J393">
        <f t="shared" si="53"/>
        <v>2020</v>
      </c>
      <c r="K393">
        <v>7</v>
      </c>
      <c r="L393" s="107">
        <f t="shared" si="46"/>
        <v>44013</v>
      </c>
    </row>
    <row r="394" spans="1:12" x14ac:dyDescent="0.2">
      <c r="A394" s="54"/>
      <c r="B394" s="95" t="s">
        <v>367</v>
      </c>
      <c r="C394" s="92">
        <v>5357.46</v>
      </c>
      <c r="D394" s="92">
        <v>0.24</v>
      </c>
      <c r="E394" s="92">
        <v>0.86</v>
      </c>
      <c r="F394" s="92">
        <v>0.24</v>
      </c>
      <c r="G394" s="92">
        <v>0.7</v>
      </c>
      <c r="H394" s="92">
        <v>2.44</v>
      </c>
      <c r="J394">
        <f t="shared" si="53"/>
        <v>2020</v>
      </c>
      <c r="K394">
        <v>8</v>
      </c>
      <c r="L394" s="107">
        <f t="shared" ref="L394:L437" si="54">DATE(J394,K394,1)</f>
        <v>44044</v>
      </c>
    </row>
    <row r="395" spans="1:12" x14ac:dyDescent="0.2">
      <c r="A395" s="54"/>
      <c r="B395" s="95" t="s">
        <v>368</v>
      </c>
      <c r="C395" s="92">
        <v>5391.75</v>
      </c>
      <c r="D395" s="92">
        <v>0.64</v>
      </c>
      <c r="E395" s="92">
        <v>1.24</v>
      </c>
      <c r="F395" s="92">
        <v>0.81</v>
      </c>
      <c r="G395" s="92">
        <v>1.34</v>
      </c>
      <c r="H395" s="92">
        <v>3.14</v>
      </c>
      <c r="J395">
        <f t="shared" si="53"/>
        <v>2020</v>
      </c>
      <c r="K395">
        <v>9</v>
      </c>
      <c r="L395" s="107">
        <f t="shared" si="54"/>
        <v>44075</v>
      </c>
    </row>
    <row r="396" spans="1:12" x14ac:dyDescent="0.2">
      <c r="A396" s="96"/>
      <c r="B396" s="75" t="s">
        <v>369</v>
      </c>
      <c r="C396" s="92">
        <v>5438.12</v>
      </c>
      <c r="D396" s="92">
        <v>0.86</v>
      </c>
      <c r="E396" s="92">
        <v>1.75</v>
      </c>
      <c r="F396" s="92">
        <v>1.99</v>
      </c>
      <c r="G396" s="92">
        <v>2.2200000000000002</v>
      </c>
      <c r="H396" s="92">
        <v>3.92</v>
      </c>
      <c r="J396">
        <f t="shared" si="53"/>
        <v>2020</v>
      </c>
      <c r="K396">
        <v>10</v>
      </c>
      <c r="L396" s="107">
        <f t="shared" si="54"/>
        <v>44105</v>
      </c>
    </row>
    <row r="397" spans="1:12" x14ac:dyDescent="0.2">
      <c r="A397" s="54"/>
      <c r="B397" s="95" t="s">
        <v>370</v>
      </c>
      <c r="C397" s="92">
        <v>5486.52</v>
      </c>
      <c r="D397" s="92">
        <v>0.89</v>
      </c>
      <c r="E397" s="92">
        <v>2.41</v>
      </c>
      <c r="F397" s="92">
        <v>3.29</v>
      </c>
      <c r="G397" s="92">
        <v>3.13</v>
      </c>
      <c r="H397" s="92">
        <v>4.3099999999999996</v>
      </c>
      <c r="J397">
        <f t="shared" si="53"/>
        <v>2020</v>
      </c>
      <c r="K397">
        <v>11</v>
      </c>
      <c r="L397" s="107">
        <f t="shared" si="54"/>
        <v>44136</v>
      </c>
    </row>
    <row r="398" spans="1:12" x14ac:dyDescent="0.2">
      <c r="A398" s="54"/>
      <c r="B398" s="95" t="s">
        <v>371</v>
      </c>
      <c r="C398" s="92">
        <v>5560.59</v>
      </c>
      <c r="D398" s="92">
        <v>1.35</v>
      </c>
      <c r="E398" s="92">
        <v>3.13</v>
      </c>
      <c r="F398" s="92">
        <v>4.42</v>
      </c>
      <c r="G398" s="92">
        <v>4.5199999999999996</v>
      </c>
      <c r="H398" s="92">
        <v>4.5199999999999996</v>
      </c>
      <c r="J398">
        <f t="shared" si="53"/>
        <v>2020</v>
      </c>
      <c r="K398">
        <v>12</v>
      </c>
      <c r="L398" s="107">
        <f t="shared" si="54"/>
        <v>44166</v>
      </c>
    </row>
    <row r="399" spans="1:12" x14ac:dyDescent="0.2">
      <c r="A399" s="96"/>
      <c r="B399" s="75"/>
      <c r="C399" s="92"/>
      <c r="D399" s="92"/>
      <c r="E399" s="92"/>
      <c r="F399" s="92"/>
      <c r="G399" s="92"/>
      <c r="H399" s="92"/>
      <c r="L399" s="107" t="e">
        <f t="shared" si="54"/>
        <v>#NUM!</v>
      </c>
    </row>
    <row r="400" spans="1:12" x14ac:dyDescent="0.2">
      <c r="A400" s="96">
        <v>2021</v>
      </c>
      <c r="B400" s="75" t="s">
        <v>360</v>
      </c>
      <c r="C400" s="92">
        <v>5574.49</v>
      </c>
      <c r="D400" s="92">
        <v>0.25</v>
      </c>
      <c r="E400" s="92">
        <v>2.5099999999999998</v>
      </c>
      <c r="F400" s="92">
        <v>4.3</v>
      </c>
      <c r="G400" s="92">
        <v>0.25</v>
      </c>
      <c r="H400" s="92">
        <v>4.5599999999999996</v>
      </c>
      <c r="J400">
        <f t="shared" ref="J400" si="55">A400</f>
        <v>2021</v>
      </c>
      <c r="K400">
        <v>1</v>
      </c>
      <c r="L400" s="107">
        <f t="shared" si="54"/>
        <v>44197</v>
      </c>
    </row>
    <row r="401" spans="1:12" x14ac:dyDescent="0.2">
      <c r="A401" s="96"/>
      <c r="B401" s="75" t="s">
        <v>361</v>
      </c>
      <c r="C401" s="92">
        <v>5622.43</v>
      </c>
      <c r="D401" s="92">
        <v>0.86</v>
      </c>
      <c r="E401" s="92">
        <v>2.48</v>
      </c>
      <c r="F401" s="92">
        <v>4.95</v>
      </c>
      <c r="G401" s="92">
        <v>1.1100000000000001</v>
      </c>
      <c r="H401" s="92">
        <v>5.2</v>
      </c>
      <c r="J401">
        <f t="shared" ref="J401:J411" si="56">J400</f>
        <v>2021</v>
      </c>
      <c r="K401">
        <v>2</v>
      </c>
      <c r="L401" s="107">
        <f t="shared" si="54"/>
        <v>44228</v>
      </c>
    </row>
    <row r="402" spans="1:12" x14ac:dyDescent="0.2">
      <c r="A402" s="96"/>
      <c r="B402" s="75" t="s">
        <v>362</v>
      </c>
      <c r="C402" s="92">
        <v>5674.72</v>
      </c>
      <c r="D402" s="92">
        <v>0.93</v>
      </c>
      <c r="E402" s="92">
        <v>2.0499999999999998</v>
      </c>
      <c r="F402" s="92">
        <v>5.25</v>
      </c>
      <c r="G402" s="92">
        <v>2.0499999999999998</v>
      </c>
      <c r="H402" s="92">
        <v>6.1</v>
      </c>
      <c r="J402">
        <f t="shared" si="56"/>
        <v>2021</v>
      </c>
      <c r="K402">
        <v>3</v>
      </c>
      <c r="L402" s="107">
        <f t="shared" si="54"/>
        <v>44256</v>
      </c>
    </row>
    <row r="403" spans="1:12" x14ac:dyDescent="0.2">
      <c r="A403" s="96"/>
      <c r="B403" s="75" t="s">
        <v>363</v>
      </c>
      <c r="C403" s="92">
        <v>5692.31</v>
      </c>
      <c r="D403" s="92">
        <v>0.31</v>
      </c>
      <c r="E403" s="92">
        <v>2.11</v>
      </c>
      <c r="F403" s="92">
        <v>4.67</v>
      </c>
      <c r="G403" s="92">
        <v>2.37</v>
      </c>
      <c r="H403" s="92">
        <v>6.76</v>
      </c>
      <c r="J403">
        <f t="shared" si="56"/>
        <v>2021</v>
      </c>
      <c r="K403">
        <v>4</v>
      </c>
      <c r="L403" s="107">
        <f t="shared" si="54"/>
        <v>44287</v>
      </c>
    </row>
    <row r="404" spans="1:12" x14ac:dyDescent="0.2">
      <c r="A404" s="96"/>
      <c r="B404" s="75" t="s">
        <v>364</v>
      </c>
      <c r="C404" s="92">
        <v>5739.56</v>
      </c>
      <c r="D404" s="92">
        <v>0.83</v>
      </c>
      <c r="E404" s="92">
        <v>2.08</v>
      </c>
      <c r="F404" s="92">
        <v>4.6100000000000003</v>
      </c>
      <c r="G404" s="92">
        <v>3.22</v>
      </c>
      <c r="H404" s="92">
        <v>8.06</v>
      </c>
      <c r="J404">
        <f t="shared" si="56"/>
        <v>2021</v>
      </c>
      <c r="K404">
        <v>5</v>
      </c>
      <c r="L404" s="107">
        <f t="shared" si="54"/>
        <v>44317</v>
      </c>
    </row>
    <row r="405" spans="1:12" x14ac:dyDescent="0.2">
      <c r="A405" s="54"/>
      <c r="B405" s="95" t="s">
        <v>365</v>
      </c>
      <c r="C405" s="92">
        <v>5769.98</v>
      </c>
      <c r="D405" s="92">
        <v>0.53</v>
      </c>
      <c r="E405" s="92">
        <v>1.68</v>
      </c>
      <c r="F405" s="92">
        <v>3.77</v>
      </c>
      <c r="G405" s="92">
        <v>3.77</v>
      </c>
      <c r="H405" s="92">
        <v>8.35</v>
      </c>
      <c r="J405">
        <f t="shared" si="56"/>
        <v>2021</v>
      </c>
      <c r="K405">
        <v>6</v>
      </c>
      <c r="L405" s="107">
        <f t="shared" si="54"/>
        <v>44348</v>
      </c>
    </row>
    <row r="406" spans="1:12" x14ac:dyDescent="0.2">
      <c r="A406" s="54"/>
      <c r="B406" s="95" t="s">
        <v>366</v>
      </c>
      <c r="C406" s="92">
        <v>5825.37</v>
      </c>
      <c r="D406" s="92">
        <v>0.96</v>
      </c>
      <c r="E406" s="92">
        <v>2.34</v>
      </c>
      <c r="F406" s="92">
        <v>4.5</v>
      </c>
      <c r="G406" s="92">
        <v>4.76</v>
      </c>
      <c r="H406" s="92">
        <v>8.99</v>
      </c>
      <c r="J406">
        <f t="shared" si="56"/>
        <v>2021</v>
      </c>
      <c r="K406">
        <v>7</v>
      </c>
      <c r="L406" s="107">
        <f t="shared" si="54"/>
        <v>44378</v>
      </c>
    </row>
    <row r="407" spans="1:12" x14ac:dyDescent="0.2">
      <c r="A407" s="54"/>
      <c r="B407" s="95" t="s">
        <v>367</v>
      </c>
      <c r="C407" s="92">
        <v>5876.05</v>
      </c>
      <c r="D407" s="92">
        <v>0.87</v>
      </c>
      <c r="E407" s="92">
        <v>2.38</v>
      </c>
      <c r="F407" s="92">
        <v>4.51</v>
      </c>
      <c r="G407" s="92">
        <v>5.67</v>
      </c>
      <c r="H407" s="92">
        <v>9.68</v>
      </c>
      <c r="J407">
        <f t="shared" si="56"/>
        <v>2021</v>
      </c>
      <c r="K407">
        <v>8</v>
      </c>
      <c r="L407" s="107">
        <f t="shared" si="54"/>
        <v>44409</v>
      </c>
    </row>
    <row r="408" spans="1:12" x14ac:dyDescent="0.2">
      <c r="A408" s="96"/>
      <c r="B408" s="75" t="s">
        <v>368</v>
      </c>
      <c r="C408" s="92">
        <v>5944.21</v>
      </c>
      <c r="D408" s="92">
        <v>1.1599999999999999</v>
      </c>
      <c r="E408" s="92">
        <v>3.02</v>
      </c>
      <c r="F408" s="92">
        <v>4.75</v>
      </c>
      <c r="G408" s="92">
        <v>6.9</v>
      </c>
      <c r="H408" s="92">
        <v>10.25</v>
      </c>
      <c r="J408">
        <f t="shared" si="56"/>
        <v>2021</v>
      </c>
      <c r="K408">
        <v>9</v>
      </c>
      <c r="L408" s="107">
        <f t="shared" si="54"/>
        <v>44440</v>
      </c>
    </row>
    <row r="409" spans="1:12" x14ac:dyDescent="0.2">
      <c r="A409" s="54"/>
      <c r="B409" s="95" t="s">
        <v>369</v>
      </c>
      <c r="C409" s="92">
        <v>6018.51</v>
      </c>
      <c r="D409" s="92">
        <v>1.25</v>
      </c>
      <c r="E409" s="92">
        <v>3.32</v>
      </c>
      <c r="F409" s="92">
        <v>5.73</v>
      </c>
      <c r="G409" s="92">
        <v>8.24</v>
      </c>
      <c r="H409" s="92">
        <v>10.67</v>
      </c>
      <c r="J409">
        <f t="shared" si="56"/>
        <v>2021</v>
      </c>
      <c r="K409">
        <v>10</v>
      </c>
      <c r="L409" s="107">
        <f t="shared" si="54"/>
        <v>44470</v>
      </c>
    </row>
    <row r="410" spans="1:12" x14ac:dyDescent="0.2">
      <c r="A410" s="96"/>
      <c r="B410" s="75" t="s">
        <v>370</v>
      </c>
      <c r="C410" s="92">
        <v>6075.69</v>
      </c>
      <c r="D410" s="92">
        <v>0.95</v>
      </c>
      <c r="E410" s="92">
        <v>3.4</v>
      </c>
      <c r="F410" s="92">
        <v>5.86</v>
      </c>
      <c r="G410" s="92">
        <v>9.26</v>
      </c>
      <c r="H410" s="92">
        <v>10.74</v>
      </c>
      <c r="J410">
        <f t="shared" si="56"/>
        <v>2021</v>
      </c>
      <c r="K410">
        <v>11</v>
      </c>
      <c r="L410" s="107">
        <f t="shared" si="54"/>
        <v>44501</v>
      </c>
    </row>
    <row r="411" spans="1:12" x14ac:dyDescent="0.2">
      <c r="A411" s="96"/>
      <c r="B411" s="75" t="s">
        <v>371</v>
      </c>
      <c r="C411" s="92">
        <v>6120.04</v>
      </c>
      <c r="D411" s="92">
        <v>0.73</v>
      </c>
      <c r="E411" s="92">
        <v>2.96</v>
      </c>
      <c r="F411" s="92">
        <v>6.07</v>
      </c>
      <c r="G411" s="92">
        <v>10.06</v>
      </c>
      <c r="H411" s="92">
        <v>10.06</v>
      </c>
      <c r="J411">
        <f t="shared" si="56"/>
        <v>2021</v>
      </c>
      <c r="K411">
        <v>12</v>
      </c>
      <c r="L411" s="107">
        <f t="shared" si="54"/>
        <v>44531</v>
      </c>
    </row>
    <row r="412" spans="1:12" x14ac:dyDescent="0.2">
      <c r="A412" s="96"/>
      <c r="B412" s="75"/>
      <c r="C412" s="92"/>
      <c r="D412" s="92"/>
      <c r="E412" s="92"/>
      <c r="F412" s="92"/>
      <c r="G412" s="92"/>
      <c r="H412" s="92"/>
      <c r="L412" s="107" t="e">
        <f t="shared" si="54"/>
        <v>#NUM!</v>
      </c>
    </row>
    <row r="413" spans="1:12" x14ac:dyDescent="0.2">
      <c r="A413" s="96">
        <v>2022</v>
      </c>
      <c r="B413" s="75" t="s">
        <v>360</v>
      </c>
      <c r="C413" s="92">
        <v>6153.09</v>
      </c>
      <c r="D413" s="92">
        <v>0.54</v>
      </c>
      <c r="E413" s="92">
        <v>2.2400000000000002</v>
      </c>
      <c r="F413" s="92">
        <v>5.63</v>
      </c>
      <c r="G413" s="92">
        <v>0.54</v>
      </c>
      <c r="H413" s="92">
        <v>10.38</v>
      </c>
      <c r="J413">
        <f t="shared" ref="J413" si="57">A413</f>
        <v>2022</v>
      </c>
      <c r="K413">
        <v>1</v>
      </c>
      <c r="L413" s="107">
        <f t="shared" si="54"/>
        <v>44562</v>
      </c>
    </row>
    <row r="414" spans="1:12" x14ac:dyDescent="0.2">
      <c r="A414" s="54"/>
      <c r="B414" s="95" t="s">
        <v>361</v>
      </c>
      <c r="C414" s="92">
        <v>6215.24</v>
      </c>
      <c r="D414" s="92">
        <v>1.01</v>
      </c>
      <c r="E414" s="92">
        <v>2.2999999999999998</v>
      </c>
      <c r="F414" s="92">
        <v>5.77</v>
      </c>
      <c r="G414" s="92">
        <v>1.56</v>
      </c>
      <c r="H414" s="92">
        <v>10.54</v>
      </c>
      <c r="J414">
        <f t="shared" ref="J414:J424" si="58">J413</f>
        <v>2022</v>
      </c>
      <c r="K414">
        <v>2</v>
      </c>
      <c r="L414" s="107">
        <f t="shared" si="54"/>
        <v>44593</v>
      </c>
    </row>
    <row r="415" spans="1:12" x14ac:dyDescent="0.2">
      <c r="A415" s="96"/>
      <c r="B415" s="75" t="s">
        <v>362</v>
      </c>
      <c r="C415" s="92">
        <v>6315.93</v>
      </c>
      <c r="D415" s="92">
        <v>1.62</v>
      </c>
      <c r="E415" s="92">
        <v>3.2</v>
      </c>
      <c r="F415" s="92">
        <v>6.25</v>
      </c>
      <c r="G415" s="92">
        <v>3.2</v>
      </c>
      <c r="H415" s="92">
        <v>11.3</v>
      </c>
      <c r="J415">
        <f t="shared" si="58"/>
        <v>2022</v>
      </c>
      <c r="K415">
        <v>3</v>
      </c>
      <c r="L415" s="107">
        <f t="shared" si="54"/>
        <v>44621</v>
      </c>
    </row>
    <row r="416" spans="1:12" x14ac:dyDescent="0.2">
      <c r="A416" s="96"/>
      <c r="B416" s="75" t="s">
        <v>363</v>
      </c>
      <c r="C416" s="92">
        <v>6382.88</v>
      </c>
      <c r="D416" s="92">
        <v>1.06</v>
      </c>
      <c r="E416" s="92">
        <v>3.73</v>
      </c>
      <c r="F416" s="92">
        <v>6.05</v>
      </c>
      <c r="G416" s="92">
        <v>4.29</v>
      </c>
      <c r="H416" s="92">
        <v>12.13</v>
      </c>
      <c r="J416">
        <f t="shared" si="58"/>
        <v>2022</v>
      </c>
      <c r="K416">
        <v>4</v>
      </c>
      <c r="L416" s="107">
        <f t="shared" si="54"/>
        <v>44652</v>
      </c>
    </row>
    <row r="417" spans="1:12" x14ac:dyDescent="0.2">
      <c r="A417" s="96"/>
      <c r="B417" s="75" t="s">
        <v>364</v>
      </c>
      <c r="C417" s="92">
        <v>6412.88</v>
      </c>
      <c r="D417" s="92">
        <v>0.47</v>
      </c>
      <c r="E417" s="92">
        <v>3.18</v>
      </c>
      <c r="F417" s="92">
        <v>5.55</v>
      </c>
      <c r="G417" s="92">
        <v>4.78</v>
      </c>
      <c r="H417" s="92">
        <v>11.73</v>
      </c>
      <c r="J417">
        <f t="shared" si="58"/>
        <v>2022</v>
      </c>
      <c r="K417">
        <v>5</v>
      </c>
      <c r="L417" s="107">
        <f t="shared" si="54"/>
        <v>44682</v>
      </c>
    </row>
    <row r="418" spans="1:12" x14ac:dyDescent="0.2">
      <c r="A418" s="54"/>
      <c r="B418" s="95" t="s">
        <v>365</v>
      </c>
      <c r="C418" s="92">
        <v>6455.85</v>
      </c>
      <c r="D418" s="92">
        <v>0.67</v>
      </c>
      <c r="E418" s="92">
        <v>2.2200000000000002</v>
      </c>
      <c r="F418" s="92">
        <v>5.49</v>
      </c>
      <c r="G418" s="92">
        <v>5.49</v>
      </c>
      <c r="H418" s="92">
        <v>11.89</v>
      </c>
      <c r="J418">
        <f t="shared" si="58"/>
        <v>2022</v>
      </c>
      <c r="K418">
        <v>6</v>
      </c>
      <c r="L418" s="107">
        <f t="shared" si="54"/>
        <v>44713</v>
      </c>
    </row>
    <row r="419" spans="1:12" x14ac:dyDescent="0.2">
      <c r="A419" s="54"/>
      <c r="B419" s="95" t="s">
        <v>366</v>
      </c>
      <c r="C419" s="92">
        <v>6411.95</v>
      </c>
      <c r="D419" s="92">
        <v>-0.68</v>
      </c>
      <c r="E419" s="92">
        <v>0.46</v>
      </c>
      <c r="F419" s="92">
        <v>4.21</v>
      </c>
      <c r="G419" s="92">
        <v>4.7699999999999996</v>
      </c>
      <c r="H419" s="92">
        <v>10.07</v>
      </c>
      <c r="J419">
        <f t="shared" si="58"/>
        <v>2022</v>
      </c>
      <c r="K419">
        <v>7</v>
      </c>
      <c r="L419" s="107">
        <f t="shared" si="54"/>
        <v>44743</v>
      </c>
    </row>
    <row r="420" spans="1:12" x14ac:dyDescent="0.2">
      <c r="A420" s="54"/>
      <c r="B420" s="95" t="s">
        <v>367</v>
      </c>
      <c r="C420" s="92">
        <v>6388.87</v>
      </c>
      <c r="D420" s="92">
        <v>-0.36</v>
      </c>
      <c r="E420" s="92">
        <v>-0.37</v>
      </c>
      <c r="F420" s="92">
        <v>2.79</v>
      </c>
      <c r="G420" s="92">
        <v>4.3899999999999997</v>
      </c>
      <c r="H420" s="92">
        <v>8.73</v>
      </c>
      <c r="J420">
        <f t="shared" si="58"/>
        <v>2022</v>
      </c>
      <c r="K420">
        <v>8</v>
      </c>
      <c r="L420" s="107">
        <f t="shared" si="54"/>
        <v>44774</v>
      </c>
    </row>
    <row r="421" spans="1:12" x14ac:dyDescent="0.2">
      <c r="A421" s="54"/>
      <c r="B421" s="95" t="s">
        <v>368</v>
      </c>
      <c r="C421" s="92">
        <v>6370.34</v>
      </c>
      <c r="D421" s="92">
        <v>-0.28999999999999998</v>
      </c>
      <c r="E421" s="92">
        <v>-1.32</v>
      </c>
      <c r="F421" s="92">
        <v>0.86</v>
      </c>
      <c r="G421" s="92">
        <v>4.09</v>
      </c>
      <c r="H421" s="92">
        <v>7.17</v>
      </c>
      <c r="J421">
        <f t="shared" si="58"/>
        <v>2022</v>
      </c>
      <c r="K421">
        <v>9</v>
      </c>
      <c r="L421" s="107">
        <f t="shared" si="54"/>
        <v>44805</v>
      </c>
    </row>
    <row r="422" spans="1:12" x14ac:dyDescent="0.2">
      <c r="A422" s="54"/>
      <c r="B422" s="95" t="s">
        <v>369</v>
      </c>
      <c r="C422" s="92">
        <v>6407.93</v>
      </c>
      <c r="D422" s="92">
        <v>0.59</v>
      </c>
      <c r="E422" s="92">
        <v>-0.06</v>
      </c>
      <c r="F422" s="92">
        <v>0.39</v>
      </c>
      <c r="G422" s="92">
        <v>4.7</v>
      </c>
      <c r="H422" s="92">
        <v>6.47</v>
      </c>
      <c r="J422">
        <f t="shared" si="58"/>
        <v>2022</v>
      </c>
      <c r="K422">
        <v>10</v>
      </c>
      <c r="L422" s="107">
        <f t="shared" si="54"/>
        <v>44835</v>
      </c>
    </row>
    <row r="423" spans="1:12" x14ac:dyDescent="0.2">
      <c r="A423" s="96"/>
      <c r="B423" s="101" t="s">
        <v>370</v>
      </c>
      <c r="C423" s="92">
        <v>6434.2</v>
      </c>
      <c r="D423" s="92">
        <v>0.41</v>
      </c>
      <c r="E423" s="92">
        <v>0.71</v>
      </c>
      <c r="F423" s="92">
        <v>0.33</v>
      </c>
      <c r="G423" s="92">
        <v>5.13</v>
      </c>
      <c r="H423" s="92">
        <v>5.9</v>
      </c>
      <c r="J423">
        <f t="shared" si="58"/>
        <v>2022</v>
      </c>
      <c r="K423">
        <v>11</v>
      </c>
      <c r="L423" s="107">
        <f t="shared" si="54"/>
        <v>44866</v>
      </c>
    </row>
    <row r="424" spans="1:12" x14ac:dyDescent="0.2">
      <c r="A424" s="96"/>
      <c r="B424" s="75" t="s">
        <v>371</v>
      </c>
      <c r="C424" s="92">
        <v>6474.09</v>
      </c>
      <c r="D424" s="92">
        <v>0.62</v>
      </c>
      <c r="E424" s="92">
        <v>1.63</v>
      </c>
      <c r="F424" s="92">
        <v>0.28000000000000003</v>
      </c>
      <c r="G424" s="92">
        <v>5.79</v>
      </c>
      <c r="H424" s="92">
        <v>5.79</v>
      </c>
      <c r="J424">
        <f t="shared" si="58"/>
        <v>2022</v>
      </c>
      <c r="K424">
        <v>12</v>
      </c>
      <c r="L424" s="107">
        <f t="shared" si="54"/>
        <v>44896</v>
      </c>
    </row>
    <row r="425" spans="1:12" x14ac:dyDescent="0.2">
      <c r="A425" s="96"/>
      <c r="B425" s="75"/>
      <c r="C425" s="92"/>
      <c r="D425" s="92"/>
      <c r="E425" s="92"/>
      <c r="F425" s="92"/>
      <c r="G425" s="92"/>
      <c r="H425" s="92"/>
      <c r="L425" s="107" t="e">
        <f t="shared" si="54"/>
        <v>#NUM!</v>
      </c>
    </row>
    <row r="426" spans="1:12" x14ac:dyDescent="0.2">
      <c r="A426" s="96">
        <v>2023</v>
      </c>
      <c r="B426" s="75" t="s">
        <v>360</v>
      </c>
      <c r="C426" s="92">
        <v>6508.4</v>
      </c>
      <c r="D426" s="92">
        <v>0.53</v>
      </c>
      <c r="E426" s="92">
        <v>1.57</v>
      </c>
      <c r="F426" s="92">
        <v>1.5</v>
      </c>
      <c r="G426" s="92">
        <v>0.53</v>
      </c>
      <c r="H426" s="92">
        <v>5.77</v>
      </c>
      <c r="J426">
        <f t="shared" ref="J426" si="59">A426</f>
        <v>2023</v>
      </c>
      <c r="K426">
        <v>1</v>
      </c>
      <c r="L426" s="107">
        <f t="shared" si="54"/>
        <v>44927</v>
      </c>
    </row>
    <row r="427" spans="1:12" x14ac:dyDescent="0.2">
      <c r="A427" s="96"/>
      <c r="B427" s="75" t="s">
        <v>361</v>
      </c>
      <c r="C427" s="92">
        <v>6563.07</v>
      </c>
      <c r="D427" s="92">
        <v>0.84</v>
      </c>
      <c r="E427" s="92">
        <v>2</v>
      </c>
      <c r="F427" s="92">
        <v>2.73</v>
      </c>
      <c r="G427" s="92">
        <v>1.37</v>
      </c>
      <c r="H427" s="92">
        <v>5.6</v>
      </c>
      <c r="J427">
        <f t="shared" ref="J427:J437" si="60">J426</f>
        <v>2023</v>
      </c>
      <c r="K427">
        <v>2</v>
      </c>
      <c r="L427" s="107">
        <f t="shared" si="54"/>
        <v>44958</v>
      </c>
    </row>
    <row r="428" spans="1:12" x14ac:dyDescent="0.2">
      <c r="A428" s="54"/>
      <c r="B428" s="95" t="s">
        <v>362</v>
      </c>
      <c r="C428" s="92">
        <v>6609.67</v>
      </c>
      <c r="D428" s="92">
        <v>0.71</v>
      </c>
      <c r="E428" s="92">
        <v>2.09</v>
      </c>
      <c r="F428" s="92">
        <v>3.76</v>
      </c>
      <c r="G428" s="92">
        <v>2.09</v>
      </c>
      <c r="H428" s="92">
        <v>4.6500000000000004</v>
      </c>
      <c r="J428">
        <f t="shared" si="60"/>
        <v>2023</v>
      </c>
      <c r="K428">
        <v>3</v>
      </c>
      <c r="L428" s="107">
        <f t="shared" si="54"/>
        <v>44986</v>
      </c>
    </row>
    <row r="429" spans="1:12" x14ac:dyDescent="0.2">
      <c r="A429" s="54"/>
      <c r="B429" s="95" t="s">
        <v>363</v>
      </c>
      <c r="C429" s="92">
        <v>6649.99</v>
      </c>
      <c r="D429" s="92">
        <v>0.61</v>
      </c>
      <c r="E429" s="92">
        <v>2.1800000000000002</v>
      </c>
      <c r="F429" s="92">
        <v>3.78</v>
      </c>
      <c r="G429" s="92">
        <v>2.72</v>
      </c>
      <c r="H429" s="92">
        <v>4.18</v>
      </c>
      <c r="J429">
        <f t="shared" si="60"/>
        <v>2023</v>
      </c>
      <c r="K429">
        <v>4</v>
      </c>
      <c r="L429" s="107">
        <f t="shared" si="54"/>
        <v>45017</v>
      </c>
    </row>
    <row r="430" spans="1:12" x14ac:dyDescent="0.2">
      <c r="A430" s="54"/>
      <c r="B430" s="95" t="s">
        <v>364</v>
      </c>
      <c r="C430" s="92">
        <v>6665.28</v>
      </c>
      <c r="D430" s="92">
        <v>0.23</v>
      </c>
      <c r="E430" s="92">
        <v>1.56</v>
      </c>
      <c r="F430" s="92">
        <v>3.59</v>
      </c>
      <c r="G430" s="92">
        <v>2.95</v>
      </c>
      <c r="H430" s="92">
        <v>3.94</v>
      </c>
      <c r="J430">
        <f t="shared" si="60"/>
        <v>2023</v>
      </c>
      <c r="K430">
        <v>5</v>
      </c>
      <c r="L430" s="107">
        <f t="shared" si="54"/>
        <v>45047</v>
      </c>
    </row>
    <row r="431" spans="1:12" ht="15" thickBot="1" x14ac:dyDescent="0.25">
      <c r="A431" s="102"/>
      <c r="B431" s="98"/>
      <c r="C431" s="99"/>
      <c r="D431" s="99"/>
      <c r="E431" s="99"/>
      <c r="F431" s="99"/>
      <c r="G431" s="99"/>
      <c r="H431" s="100"/>
      <c r="J431">
        <f t="shared" si="60"/>
        <v>2023</v>
      </c>
      <c r="K431">
        <v>6</v>
      </c>
      <c r="L431" s="107">
        <f t="shared" si="54"/>
        <v>45078</v>
      </c>
    </row>
    <row r="432" spans="1:12" ht="15" thickTop="1" x14ac:dyDescent="0.2">
      <c r="A432" s="60" t="s">
        <v>374</v>
      </c>
      <c r="J432">
        <f t="shared" si="60"/>
        <v>2023</v>
      </c>
      <c r="K432">
        <v>7</v>
      </c>
      <c r="L432" s="107">
        <f t="shared" si="54"/>
        <v>45108</v>
      </c>
    </row>
    <row r="433" spans="1:12" x14ac:dyDescent="0.2">
      <c r="A433" s="30" t="s">
        <v>375</v>
      </c>
      <c r="E433" s="31"/>
      <c r="J433">
        <f t="shared" si="60"/>
        <v>2023</v>
      </c>
      <c r="K433">
        <v>8</v>
      </c>
      <c r="L433" s="107">
        <f t="shared" si="54"/>
        <v>45139</v>
      </c>
    </row>
    <row r="434" spans="1:12" x14ac:dyDescent="0.2">
      <c r="E434" s="31"/>
      <c r="J434">
        <f t="shared" si="60"/>
        <v>2023</v>
      </c>
      <c r="K434">
        <v>9</v>
      </c>
      <c r="L434" s="107">
        <f t="shared" si="54"/>
        <v>45170</v>
      </c>
    </row>
    <row r="435" spans="1:12" x14ac:dyDescent="0.2">
      <c r="B435" s="31"/>
      <c r="E435" s="31"/>
      <c r="J435">
        <f t="shared" si="60"/>
        <v>2023</v>
      </c>
      <c r="K435">
        <v>10</v>
      </c>
      <c r="L435" s="107">
        <f t="shared" si="54"/>
        <v>45200</v>
      </c>
    </row>
    <row r="436" spans="1:12" x14ac:dyDescent="0.2">
      <c r="D436" s="31"/>
      <c r="E436" s="31"/>
      <c r="F436" s="31"/>
      <c r="G436" s="31"/>
      <c r="H436" s="31"/>
      <c r="J436">
        <f t="shared" si="60"/>
        <v>2023</v>
      </c>
      <c r="K436">
        <v>11</v>
      </c>
      <c r="L436" s="107">
        <f t="shared" si="54"/>
        <v>45231</v>
      </c>
    </row>
    <row r="437" spans="1:12" x14ac:dyDescent="0.2">
      <c r="E437" s="31"/>
      <c r="J437">
        <f t="shared" si="60"/>
        <v>2023</v>
      </c>
      <c r="K437">
        <v>12</v>
      </c>
      <c r="L437" s="107">
        <f t="shared" si="54"/>
        <v>45261</v>
      </c>
    </row>
    <row r="438" spans="1:12" x14ac:dyDescent="0.2">
      <c r="E438" s="31"/>
    </row>
    <row r="439" spans="1:12" x14ac:dyDescent="0.2">
      <c r="E439" s="31"/>
    </row>
    <row r="440" spans="1:12" x14ac:dyDescent="0.2">
      <c r="E440" s="31"/>
    </row>
    <row r="441" spans="1:12" ht="16" x14ac:dyDescent="0.2">
      <c r="A441" s="106"/>
      <c r="B441" s="106"/>
      <c r="C441" s="106"/>
      <c r="D441" s="106"/>
      <c r="E441" s="106"/>
      <c r="F441" s="106"/>
      <c r="G441" s="106"/>
      <c r="H441" s="106"/>
    </row>
    <row r="442" spans="1:12" x14ac:dyDescent="0.2">
      <c r="D442" s="31"/>
      <c r="E442" s="31"/>
      <c r="F442" s="31"/>
      <c r="G442" s="31"/>
      <c r="H442" s="31"/>
    </row>
    <row r="448" spans="1:12" x14ac:dyDescent="0.2">
      <c r="F448" s="30" t="s">
        <v>241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Valuation (FCF) Guara</vt:lpstr>
      <vt:lpstr>SNIS</vt:lpstr>
      <vt:lpstr>Séries Econômicas</vt:lpstr>
      <vt:lpstr>'Valuation (FCF) Guara'!Area_de_impressao</vt:lpstr>
      <vt:lpstr>'Valuation (FCF) Guara'!Titulos_de_impressao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Tinelli</dc:creator>
  <cp:lastModifiedBy>Rafael Tinelli</cp:lastModifiedBy>
  <dcterms:created xsi:type="dcterms:W3CDTF">2023-04-19T00:51:45Z</dcterms:created>
  <dcterms:modified xsi:type="dcterms:W3CDTF">2023-09-16T16:31:31Z</dcterms:modified>
</cp:coreProperties>
</file>